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O-Rechn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CHF #'##0.00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.5"/>
    </font>
    <font>
      <name val="Calibri"/>
      <b val="1"/>
      <color rgb="00FFFFFF"/>
      <sz val="11"/>
    </font>
    <font>
      <name val="Calibri"/>
      <b val="1"/>
      <sz val="10.5"/>
    </font>
    <font>
      <name val="Calibri"/>
      <sz val="10.5"/>
    </font>
    <font>
      <name val="Calibri"/>
      <b val="1"/>
      <color rgb="00FFFFFF"/>
      <sz val="10.5"/>
    </font>
    <font>
      <name val="Calibri"/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164" fontId="5" fillId="4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4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center" vertical="center" wrapText="1"/>
    </xf>
    <xf numFmtId="0" fontId="6" fillId="6" borderId="1" pivotButton="0" quotePrefix="0" xfId="0"/>
    <xf numFmtId="0" fontId="6" fillId="6" borderId="1" applyAlignment="1" pivotButton="0" quotePrefix="0" xfId="0">
      <alignment horizontal="left" vertical="center" wrapText="1"/>
    </xf>
    <xf numFmtId="165" fontId="6" fillId="6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0" fillId="3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1" fillId="0" borderId="0" pivotButton="0" quotePrefix="0" xfId="0"/>
    <xf numFmtId="0" fontId="4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7" fillId="0" borderId="1" applyAlignment="1" pivotButton="0" quotePrefix="0" xfId="0">
      <alignment horizontal="right"/>
    </xf>
    <xf numFmtId="0" fontId="4" fillId="5" borderId="1" pivotButton="0" quotePrefix="0" xfId="0"/>
    <xf numFmtId="165" fontId="7" fillId="0" borderId="1" applyAlignment="1" pivotButton="0" quotePrefix="0" xfId="0">
      <alignment horizontal="right"/>
    </xf>
    <xf numFmtId="0" fontId="3" fillId="6" borderId="1" pivotButton="0" quotePrefix="0" xfId="0"/>
    <xf numFmtId="0" fontId="5" fillId="0" borderId="0" applyAlignment="1" pivotButton="0" quotePrefix="0" xfId="0">
      <alignment vertical="top" wrapText="1"/>
    </xf>
    <xf numFmtId="0" fontId="5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4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center" wrapText="1"/>
    </xf>
    <xf numFmtId="164" fontId="5" fillId="4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center" vertical="center" wrapText="1"/>
    </xf>
    <xf numFmtId="164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center" vertical="center" wrapText="1"/>
    </xf>
    <xf numFmtId="165" fontId="6" fillId="6" borderId="1" pivotButton="0" quotePrefix="0" xfId="0"/>
    <xf numFmtId="165" fontId="0" fillId="0" borderId="1" pivotButton="0" quotePrefix="0" xfId="0"/>
    <xf numFmtId="165" fontId="7" fillId="0" borderId="1" applyAlignment="1" pivotButton="0" quotePrefix="0" xfId="0">
      <alignment horizontal="right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DC2626"/>
      </font>
      <fill>
        <patternFill patternType="solid">
          <fgColor rgb="00FFFB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EO-Entschädigung pro Person (CHF)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'EO-Rechner'!P4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'EO-Rechner'!$B$5:$B$13</f>
            </numRef>
          </cat>
          <val>
            <numRef>
              <f>'EO-Rechner'!$P$5:$P$13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Name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Status (Maximum vs. Unter Maximum)</a:t>
            </a:r>
          </a:p>
        </rich>
      </tx>
    </title>
    <plotArea>
      <pieChart>
        <varyColors val="1"/>
        <ser>
          <idx val="0"/>
          <order val="0"/>
          <tx>
            <strRef>
              <f>'Dashboard'!K11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'Dashboard'!$J$12:$J$13</f>
            </numRef>
          </cat>
          <val>
            <numRef>
              <f>'Dashboard'!$K$12:$K$13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10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32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9" customWidth="1" min="4" max="4"/>
    <col width="13" customWidth="1" min="5" max="5"/>
    <col width="14" customWidth="1" min="6" max="6"/>
    <col width="13" customWidth="1" min="7" max="7"/>
    <col width="13" customWidth="1" min="8" max="8"/>
    <col width="14" customWidth="1" min="9" max="9"/>
    <col width="14" customWidth="1" min="10" max="10"/>
    <col width="13" customWidth="1" min="11" max="11"/>
    <col width="13" customWidth="1" min="12" max="12"/>
    <col width="13" customWidth="1" min="13" max="13"/>
    <col width="14" customWidth="1" min="14" max="14"/>
    <col width="10" customWidth="1" min="15" max="15"/>
    <col width="16" customWidth="1" min="16" max="16"/>
    <col width="12" customWidth="1" min="17" max="17"/>
    <col width="16" customWidth="1" min="18" max="18"/>
  </cols>
  <sheetData>
    <row r="1" ht="28" customHeight="1">
      <c r="A1" s="1" t="inlineStr">
        <is>
          <t>Mutterschaftsentschädigung EO – Rechner Schweiz</t>
        </is>
      </c>
    </row>
    <row r="2">
      <c r="A2" s="2" t="inlineStr">
        <is>
          <t>Grundlage: Erwerbsersatzgesetz (EOG), 98 Taggelder (14 Wochen), 80% des durchschnittlichen Erwerbseinkommens, Maximum CHF 220.– pro Tag (Stand 2026)</t>
        </is>
      </c>
    </row>
    <row r="3"/>
    <row r="4" ht="40" customHeight="1">
      <c r="A4" s="3" t="inlineStr">
        <is>
          <t>Nr.</t>
        </is>
      </c>
      <c r="B4" s="3" t="inlineStr">
        <is>
          <t>Name</t>
        </is>
      </c>
      <c r="C4" s="3" t="inlineStr">
        <is>
          <t>Vorname</t>
        </is>
      </c>
      <c r="D4" s="3" t="inlineStr">
        <is>
          <t>Kanton</t>
        </is>
      </c>
      <c r="E4" s="3" t="inlineStr">
        <is>
          <t>Wohnort</t>
        </is>
      </c>
      <c r="F4" s="3" t="inlineStr">
        <is>
          <t>Geburtsdatum Kind</t>
        </is>
      </c>
      <c r="G4" s="3" t="inlineStr">
        <is>
          <t>Beginn Urlaub</t>
        </is>
      </c>
      <c r="H4" s="3" t="inlineStr">
        <is>
          <t>Ende Urlaub</t>
        </is>
      </c>
      <c r="I4" s="3" t="inlineStr">
        <is>
          <t>Beschäftigungs-
monate vor Geburt</t>
        </is>
      </c>
      <c r="J4" s="3" t="inlineStr">
        <is>
          <t>Bruttolohn pro
Monat (CHF)</t>
        </is>
      </c>
      <c r="K4" s="3" t="inlineStr">
        <is>
          <t>Ø Taggeslohn
(CHF)</t>
        </is>
      </c>
      <c r="L4" s="3" t="inlineStr">
        <is>
          <t>EO-Taggeld
80% (CHF)</t>
        </is>
      </c>
      <c r="M4" s="3" t="inlineStr">
        <is>
          <t>Maximal-
taggeld (CHF)</t>
        </is>
      </c>
      <c r="N4" s="3" t="inlineStr">
        <is>
          <t>Effektives
Taggeld (CHF)</t>
        </is>
      </c>
      <c r="O4" s="3" t="inlineStr">
        <is>
          <t>Anzahl
Taggelder</t>
        </is>
      </c>
      <c r="P4" s="3" t="inlineStr">
        <is>
          <t>Total EO-
Entschädigung (CHF)</t>
        </is>
      </c>
      <c r="Q4" s="3" t="inlineStr">
        <is>
          <t>Anspruchs-
berechtigt</t>
        </is>
      </c>
      <c r="R4" s="3" t="inlineStr">
        <is>
          <t>Status</t>
        </is>
      </c>
    </row>
    <row r="5">
      <c r="A5" s="4" t="n">
        <v>1</v>
      </c>
      <c r="B5" s="4" t="inlineStr">
        <is>
          <t>Meier</t>
        </is>
      </c>
      <c r="C5" s="4" t="inlineStr">
        <is>
          <t>Andrea</t>
        </is>
      </c>
      <c r="D5" s="4" t="inlineStr">
        <is>
          <t>ZH</t>
        </is>
      </c>
      <c r="E5" s="4" t="inlineStr">
        <is>
          <t>Zürich</t>
        </is>
      </c>
      <c r="F5" s="34" t="n">
        <v>46091</v>
      </c>
      <c r="G5" s="34">
        <f>F5</f>
        <v/>
      </c>
      <c r="H5" s="34">
        <f>G5+97</f>
        <v/>
      </c>
      <c r="I5" s="4" t="n">
        <v>6</v>
      </c>
      <c r="J5" s="35" t="n">
        <v>7200</v>
      </c>
      <c r="K5" s="36">
        <f>IFERROR(J5*12/365,0)</f>
        <v/>
      </c>
      <c r="L5" s="36">
        <f>K5*0.8</f>
        <v/>
      </c>
      <c r="M5" s="37" t="n">
        <v>220</v>
      </c>
      <c r="N5" s="36">
        <f>MIN(L5,M5)</f>
        <v/>
      </c>
      <c r="O5" s="4" t="n">
        <v>98</v>
      </c>
      <c r="P5" s="36">
        <f>N5*O5</f>
        <v/>
      </c>
      <c r="Q5" s="4">
        <f>IF(I5&gt;=5,"Ja","Nein")</f>
        <v/>
      </c>
      <c r="R5" s="4">
        <f>IF(L5&gt;M5,"Maximum erreicht","Unter Maximum")</f>
        <v/>
      </c>
    </row>
    <row r="6">
      <c r="A6" s="9" t="n">
        <v>2</v>
      </c>
      <c r="B6" s="9" t="inlineStr">
        <is>
          <t>Widmer</t>
        </is>
      </c>
      <c r="C6" s="9" t="inlineStr">
        <is>
          <t>Sandra</t>
        </is>
      </c>
      <c r="D6" s="9" t="inlineStr">
        <is>
          <t>BE</t>
        </is>
      </c>
      <c r="E6" s="9" t="inlineStr">
        <is>
          <t>Bern</t>
        </is>
      </c>
      <c r="F6" s="38" t="n">
        <v>46114</v>
      </c>
      <c r="G6" s="38">
        <f>F6</f>
        <v/>
      </c>
      <c r="H6" s="38">
        <f>G6+97</f>
        <v/>
      </c>
      <c r="I6" s="9" t="n">
        <v>12</v>
      </c>
      <c r="J6" s="35" t="n">
        <v>6100</v>
      </c>
      <c r="K6" s="39">
        <f>IFERROR(J6*12/365,0)</f>
        <v/>
      </c>
      <c r="L6" s="39">
        <f>K6*0.8</f>
        <v/>
      </c>
      <c r="M6" s="40" t="n">
        <v>220</v>
      </c>
      <c r="N6" s="39">
        <f>MIN(L6,M6)</f>
        <v/>
      </c>
      <c r="O6" s="9" t="n">
        <v>98</v>
      </c>
      <c r="P6" s="39">
        <f>N6*O6</f>
        <v/>
      </c>
      <c r="Q6" s="9">
        <f>IF(I6&gt;=5,"Ja","Nein")</f>
        <v/>
      </c>
      <c r="R6" s="9">
        <f>IF(L6&gt;M6,"Maximum erreicht","Unter Maximum")</f>
        <v/>
      </c>
    </row>
    <row r="7">
      <c r="A7" s="4" t="n">
        <v>3</v>
      </c>
      <c r="B7" s="4" t="inlineStr">
        <is>
          <t>Dubois</t>
        </is>
      </c>
      <c r="C7" s="4" t="inlineStr">
        <is>
          <t>Nicole</t>
        </is>
      </c>
      <c r="D7" s="4" t="inlineStr">
        <is>
          <t>GE</t>
        </is>
      </c>
      <c r="E7" s="4" t="inlineStr">
        <is>
          <t>Genf</t>
        </is>
      </c>
      <c r="F7" s="34" t="n">
        <v>46071</v>
      </c>
      <c r="G7" s="34">
        <f>F7</f>
        <v/>
      </c>
      <c r="H7" s="34">
        <f>G7+97</f>
        <v/>
      </c>
      <c r="I7" s="4" t="n">
        <v>8</v>
      </c>
      <c r="J7" s="35" t="n">
        <v>9500</v>
      </c>
      <c r="K7" s="36">
        <f>IFERROR(J7*12/365,0)</f>
        <v/>
      </c>
      <c r="L7" s="36">
        <f>K7*0.8</f>
        <v/>
      </c>
      <c r="M7" s="37" t="n">
        <v>220</v>
      </c>
      <c r="N7" s="36">
        <f>MIN(L7,M7)</f>
        <v/>
      </c>
      <c r="O7" s="4" t="n">
        <v>98</v>
      </c>
      <c r="P7" s="36">
        <f>N7*O7</f>
        <v/>
      </c>
      <c r="Q7" s="4">
        <f>IF(I7&gt;=5,"Ja","Nein")</f>
        <v/>
      </c>
      <c r="R7" s="4">
        <f>IF(L7&gt;M7,"Maximum erreicht","Unter Maximum")</f>
        <v/>
      </c>
    </row>
    <row r="8">
      <c r="A8" s="9" t="n">
        <v>4</v>
      </c>
      <c r="B8" s="9" t="inlineStr">
        <is>
          <t>Keller</t>
        </is>
      </c>
      <c r="C8" s="9" t="inlineStr">
        <is>
          <t>Claudia</t>
        </is>
      </c>
      <c r="D8" s="9" t="inlineStr">
        <is>
          <t>BS</t>
        </is>
      </c>
      <c r="E8" s="9" t="inlineStr">
        <is>
          <t>Basel</t>
        </is>
      </c>
      <c r="F8" s="38" t="n">
        <v>46167</v>
      </c>
      <c r="G8" s="38">
        <f>F8</f>
        <v/>
      </c>
      <c r="H8" s="38">
        <f>G8+97</f>
        <v/>
      </c>
      <c r="I8" s="9" t="n">
        <v>5</v>
      </c>
      <c r="J8" s="35" t="n">
        <v>5400</v>
      </c>
      <c r="K8" s="39">
        <f>IFERROR(J8*12/365,0)</f>
        <v/>
      </c>
      <c r="L8" s="39">
        <f>K8*0.8</f>
        <v/>
      </c>
      <c r="M8" s="40" t="n">
        <v>220</v>
      </c>
      <c r="N8" s="39">
        <f>MIN(L8,M8)</f>
        <v/>
      </c>
      <c r="O8" s="9" t="n">
        <v>98</v>
      </c>
      <c r="P8" s="39">
        <f>N8*O8</f>
        <v/>
      </c>
      <c r="Q8" s="9">
        <f>IF(I8&gt;=5,"Ja","Nein")</f>
        <v/>
      </c>
      <c r="R8" s="9">
        <f>IF(L8&gt;M8,"Maximum erreicht","Unter Maximum")</f>
        <v/>
      </c>
    </row>
    <row r="9">
      <c r="A9" s="4" t="n">
        <v>5</v>
      </c>
      <c r="B9" s="4" t="inlineStr">
        <is>
          <t>Rossier</t>
        </is>
      </c>
      <c r="C9" s="4" t="inlineStr">
        <is>
          <t>Petra</t>
        </is>
      </c>
      <c r="D9" s="4" t="inlineStr">
        <is>
          <t>VD</t>
        </is>
      </c>
      <c r="E9" s="4" t="inlineStr">
        <is>
          <t>Lausanne</t>
        </is>
      </c>
      <c r="F9" s="34" t="n">
        <v>46052</v>
      </c>
      <c r="G9" s="34">
        <f>F9</f>
        <v/>
      </c>
      <c r="H9" s="34">
        <f>G9+97</f>
        <v/>
      </c>
      <c r="I9" s="4" t="n">
        <v>24</v>
      </c>
      <c r="J9" s="35" t="n">
        <v>8200</v>
      </c>
      <c r="K9" s="36">
        <f>IFERROR(J9*12/365,0)</f>
        <v/>
      </c>
      <c r="L9" s="36">
        <f>K9*0.8</f>
        <v/>
      </c>
      <c r="M9" s="37" t="n">
        <v>220</v>
      </c>
      <c r="N9" s="36">
        <f>MIN(L9,M9)</f>
        <v/>
      </c>
      <c r="O9" s="4" t="n">
        <v>98</v>
      </c>
      <c r="P9" s="36">
        <f>N9*O9</f>
        <v/>
      </c>
      <c r="Q9" s="4">
        <f>IF(I9&gt;=5,"Ja","Nein")</f>
        <v/>
      </c>
      <c r="R9" s="4">
        <f>IF(L9&gt;M9,"Maximum erreicht","Unter Maximum")</f>
        <v/>
      </c>
    </row>
    <row r="10">
      <c r="A10" s="9" t="n">
        <v>6</v>
      </c>
      <c r="B10" s="9" t="inlineStr">
        <is>
          <t>Bühler</t>
        </is>
      </c>
      <c r="C10" s="9" t="inlineStr">
        <is>
          <t>Martina</t>
        </is>
      </c>
      <c r="D10" s="9" t="inlineStr">
        <is>
          <t>LU</t>
        </is>
      </c>
      <c r="E10" s="9" t="inlineStr">
        <is>
          <t>Luzern</t>
        </is>
      </c>
      <c r="F10" s="38" t="n">
        <v>46187</v>
      </c>
      <c r="G10" s="38">
        <f>F10</f>
        <v/>
      </c>
      <c r="H10" s="38">
        <f>G10+97</f>
        <v/>
      </c>
      <c r="I10" s="9" t="n">
        <v>3</v>
      </c>
      <c r="J10" s="35" t="n">
        <v>4800</v>
      </c>
      <c r="K10" s="39">
        <f>IFERROR(J10*12/365,0)</f>
        <v/>
      </c>
      <c r="L10" s="39">
        <f>K10*0.8</f>
        <v/>
      </c>
      <c r="M10" s="40" t="n">
        <v>220</v>
      </c>
      <c r="N10" s="39">
        <f>MIN(L10,M10)</f>
        <v/>
      </c>
      <c r="O10" s="9" t="n">
        <v>98</v>
      </c>
      <c r="P10" s="39">
        <f>N10*O10</f>
        <v/>
      </c>
      <c r="Q10" s="9">
        <f>IF(I10&gt;=5,"Ja","Nein")</f>
        <v/>
      </c>
      <c r="R10" s="9">
        <f>IF(L10&gt;M10,"Maximum erreicht","Unter Maximum")</f>
        <v/>
      </c>
    </row>
    <row r="11">
      <c r="A11" s="4" t="n">
        <v>7</v>
      </c>
      <c r="B11" s="4" t="inlineStr">
        <is>
          <t>Blanc</t>
        </is>
      </c>
      <c r="C11" s="4" t="inlineStr">
        <is>
          <t>Laura</t>
        </is>
      </c>
      <c r="D11" s="4" t="inlineStr">
        <is>
          <t>VD</t>
        </is>
      </c>
      <c r="E11" s="4" t="inlineStr">
        <is>
          <t>Lausanne</t>
        </is>
      </c>
      <c r="F11" s="34" t="n">
        <v>46109</v>
      </c>
      <c r="G11" s="34">
        <f>F11</f>
        <v/>
      </c>
      <c r="H11" s="34">
        <f>G11+97</f>
        <v/>
      </c>
      <c r="I11" s="4" t="n">
        <v>9</v>
      </c>
      <c r="J11" s="35" t="n">
        <v>6700</v>
      </c>
      <c r="K11" s="36">
        <f>IFERROR(J11*12/365,0)</f>
        <v/>
      </c>
      <c r="L11" s="36">
        <f>K11*0.8</f>
        <v/>
      </c>
      <c r="M11" s="37" t="n">
        <v>220</v>
      </c>
      <c r="N11" s="36">
        <f>MIN(L11,M11)</f>
        <v/>
      </c>
      <c r="O11" s="4" t="n">
        <v>98</v>
      </c>
      <c r="P11" s="36">
        <f>N11*O11</f>
        <v/>
      </c>
      <c r="Q11" s="4">
        <f>IF(I11&gt;=5,"Ja","Nein")</f>
        <v/>
      </c>
      <c r="R11" s="4">
        <f>IF(L11&gt;M11,"Maximum erreicht","Unter Maximum")</f>
        <v/>
      </c>
    </row>
    <row r="12">
      <c r="A12" s="9" t="n">
        <v>8</v>
      </c>
      <c r="B12" s="9" t="inlineStr">
        <is>
          <t>Gerber</t>
        </is>
      </c>
      <c r="C12" s="9" t="inlineStr">
        <is>
          <t>Fabienne</t>
        </is>
      </c>
      <c r="D12" s="9" t="inlineStr">
        <is>
          <t>SG</t>
        </is>
      </c>
      <c r="E12" s="9" t="inlineStr">
        <is>
          <t>St. Gallen</t>
        </is>
      </c>
      <c r="F12" s="38" t="n">
        <v>46132</v>
      </c>
      <c r="G12" s="38">
        <f>F12</f>
        <v/>
      </c>
      <c r="H12" s="38">
        <f>G12+97</f>
        <v/>
      </c>
      <c r="I12" s="9" t="n">
        <v>15</v>
      </c>
      <c r="J12" s="35" t="n">
        <v>5900</v>
      </c>
      <c r="K12" s="39">
        <f>IFERROR(J12*12/365,0)</f>
        <v/>
      </c>
      <c r="L12" s="39">
        <f>K12*0.8</f>
        <v/>
      </c>
      <c r="M12" s="40" t="n">
        <v>220</v>
      </c>
      <c r="N12" s="39">
        <f>MIN(L12,M12)</f>
        <v/>
      </c>
      <c r="O12" s="9" t="n">
        <v>98</v>
      </c>
      <c r="P12" s="39">
        <f>N12*O12</f>
        <v/>
      </c>
      <c r="Q12" s="9">
        <f>IF(I12&gt;=5,"Ja","Nein")</f>
        <v/>
      </c>
      <c r="R12" s="9">
        <f>IF(L12&gt;M12,"Maximum erreicht","Unter Maximum")</f>
        <v/>
      </c>
    </row>
    <row r="13">
      <c r="A13" s="4" t="n">
        <v>9</v>
      </c>
      <c r="B13" s="4" t="inlineStr">
        <is>
          <t>Perret</t>
        </is>
      </c>
      <c r="C13" s="4" t="inlineStr">
        <is>
          <t>Céline</t>
        </is>
      </c>
      <c r="D13" s="4" t="inlineStr">
        <is>
          <t>GE</t>
        </is>
      </c>
      <c r="E13" s="4" t="inlineStr">
        <is>
          <t>Genf</t>
        </is>
      </c>
      <c r="F13" s="34" t="n">
        <v>46204</v>
      </c>
      <c r="G13" s="34">
        <f>F13</f>
        <v/>
      </c>
      <c r="H13" s="34">
        <f>G13+97</f>
        <v/>
      </c>
      <c r="I13" s="4" t="n">
        <v>7</v>
      </c>
      <c r="J13" s="35" t="n">
        <v>10200</v>
      </c>
      <c r="K13" s="36">
        <f>IFERROR(J13*12/365,0)</f>
        <v/>
      </c>
      <c r="L13" s="36">
        <f>K13*0.8</f>
        <v/>
      </c>
      <c r="M13" s="37" t="n">
        <v>220</v>
      </c>
      <c r="N13" s="36">
        <f>MIN(L13,M13)</f>
        <v/>
      </c>
      <c r="O13" s="4" t="n">
        <v>98</v>
      </c>
      <c r="P13" s="36">
        <f>N13*O13</f>
        <v/>
      </c>
      <c r="Q13" s="4">
        <f>IF(I13&gt;=5,"Ja","Nein")</f>
        <v/>
      </c>
      <c r="R13" s="4">
        <f>IF(L13&gt;M13,"Maximum erreicht","Unter Maximum")</f>
        <v/>
      </c>
    </row>
    <row r="14">
      <c r="A14" s="13" t="n"/>
      <c r="B14" s="14" t="inlineStr">
        <is>
          <t>Total / Durchschnitt</t>
        </is>
      </c>
      <c r="C14" s="23" t="n"/>
      <c r="D14" s="23" t="n"/>
      <c r="E14" s="24" t="n"/>
      <c r="F14" s="13" t="n"/>
      <c r="G14" s="13" t="n"/>
      <c r="H14" s="13" t="n"/>
      <c r="I14" s="13" t="n"/>
      <c r="J14" s="41">
        <f>IFERROR(AVERAGE(J5:J13),0)</f>
        <v/>
      </c>
      <c r="K14" s="41">
        <f>IFERROR(AVERAGE(K5:K13),0)</f>
        <v/>
      </c>
      <c r="L14" s="13" t="n"/>
      <c r="M14" s="13" t="n"/>
      <c r="N14" s="41">
        <f>IFERROR(AVERAGE(N5:N13),0)</f>
        <v/>
      </c>
      <c r="O14" s="13" t="n"/>
      <c r="P14" s="41">
        <f>SUM(P5:P13)</f>
        <v/>
      </c>
      <c r="Q14" s="13" t="n"/>
      <c r="R14" s="13" t="n"/>
    </row>
    <row r="15"/>
    <row r="16"/>
    <row r="17">
      <c r="B17" s="16" t="inlineStr">
        <is>
          <t>Einzelabfrage (VLOOKUP)</t>
        </is>
      </c>
    </row>
    <row r="18">
      <c r="B18" s="17" t="inlineStr">
        <is>
          <t>Name eingeben:</t>
        </is>
      </c>
      <c r="C18" s="18" t="inlineStr">
        <is>
          <t>Meier</t>
        </is>
      </c>
    </row>
    <row r="19">
      <c r="B19" s="17" t="inlineStr">
        <is>
          <t>Vorname:</t>
        </is>
      </c>
      <c r="C19" s="19">
        <f>IFERROR(VLOOKUP(C18,B5:R13,2,0),"nicht gefunden")</f>
        <v/>
      </c>
    </row>
    <row r="20">
      <c r="B20" s="17" t="inlineStr">
        <is>
          <t>Total EO-Entschädigung:</t>
        </is>
      </c>
      <c r="C20" s="42">
        <f>IFERROR(VLOOKUP(C18,B5:R13,14,0),0)</f>
        <v/>
      </c>
    </row>
    <row r="21">
      <c r="B21" s="17" t="inlineStr">
        <is>
          <t>Status:</t>
        </is>
      </c>
      <c r="C21" s="19">
        <f>IFERROR(VLOOKUP(C18,B5:R13,17,0),"-")</f>
        <v/>
      </c>
    </row>
  </sheetData>
  <mergeCells count="3">
    <mergeCell ref="A1:R1"/>
    <mergeCell ref="A2:R2"/>
    <mergeCell ref="B14:E14"/>
  </mergeCells>
  <conditionalFormatting sqref="R5:R13">
    <cfRule type="expression" priority="1" dxfId="0" stopIfTrue="1">
      <formula>R5="Nein"</formula>
    </cfRule>
  </conditionalFormatting>
  <conditionalFormatting sqref="S5:S13">
    <cfRule type="expression" priority="2" dxfId="1" stopIfTrue="1">
      <formula>S5="Maximum erreicht"</formula>
    </cfRule>
  </conditionalFormatting>
  <dataValidations count="1">
    <dataValidation sqref="D5:D13" showErrorMessage="1" showInputMessage="1" allowBlank="1" type="list">
      <formula1>"ZH,BE,GE,BS,VD,LU,SG,AG,TI,VS"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21" t="inlineStr">
        <is>
          <t>Dashboard – Übersicht Mutterschaftsentschädigung</t>
        </is>
      </c>
    </row>
    <row r="2"/>
    <row r="3">
      <c r="A3" s="22" t="inlineStr">
        <is>
          <t>Anzahl Mütter</t>
        </is>
      </c>
      <c r="B3" s="23" t="n"/>
      <c r="C3" s="24" t="n"/>
      <c r="D3" s="25">
        <f>COUNTA('EO-Rechner'!B5:B13)</f>
        <v/>
      </c>
    </row>
    <row r="4">
      <c r="A4" s="26" t="inlineStr">
        <is>
          <t>Total EO-Entschädigung (CHF)</t>
        </is>
      </c>
      <c r="B4" s="23" t="n"/>
      <c r="C4" s="24" t="n"/>
      <c r="D4" s="43">
        <f>SUM('EO-Rechner'!P5:P13)</f>
        <v/>
      </c>
    </row>
    <row r="5">
      <c r="A5" s="22" t="inlineStr">
        <is>
          <t>Durchschnittliches Taggeld (CHF)</t>
        </is>
      </c>
      <c r="B5" s="23" t="n"/>
      <c r="C5" s="24" t="n"/>
      <c r="D5" s="43">
        <f>IFERROR(AVERAGE('EO-Rechner'!N5:N13),0)</f>
        <v/>
      </c>
    </row>
    <row r="6">
      <c r="A6" s="26" t="inlineStr">
        <is>
          <t>Anzahl am Maximum (220.-)</t>
        </is>
      </c>
      <c r="B6" s="23" t="n"/>
      <c r="C6" s="24" t="n"/>
      <c r="D6" s="25">
        <f>COUNTIF('EO-Rechner'!S5:S13,"Maximum erreicht")</f>
        <v/>
      </c>
    </row>
    <row r="7">
      <c r="A7" s="22" t="inlineStr">
        <is>
          <t>Höchster Monatslohn (CHF)</t>
        </is>
      </c>
      <c r="B7" s="23" t="n"/>
      <c r="C7" s="24" t="n"/>
      <c r="D7" s="43">
        <f>MAX('EO-Rechner'!J5:J13)</f>
        <v/>
      </c>
    </row>
    <row r="8">
      <c r="A8" s="26" t="inlineStr">
        <is>
          <t>Anspruchsberechtigt (Anzahl)</t>
        </is>
      </c>
      <c r="B8" s="23" t="n"/>
      <c r="C8" s="24" t="n"/>
      <c r="D8" s="25">
        <f>COUNTIF('EO-Rechner'!R5:R13,"Ja")</f>
        <v/>
      </c>
    </row>
    <row r="9"/>
    <row r="10">
      <c r="A10" s="16" t="inlineStr">
        <is>
          <t>Diagramme</t>
        </is>
      </c>
    </row>
    <row r="11">
      <c r="J11" s="28" t="inlineStr">
        <is>
          <t>Status</t>
        </is>
      </c>
      <c r="K11" s="28" t="inlineStr">
        <is>
          <t>Anzahl</t>
        </is>
      </c>
    </row>
    <row r="12">
      <c r="J12" s="19" t="inlineStr">
        <is>
          <t>Maximum erreicht</t>
        </is>
      </c>
      <c r="K12" s="19">
        <f>COUNTIF('EO-Rechner'!S5:S13,"Maximum erreicht")</f>
        <v/>
      </c>
    </row>
    <row r="13">
      <c r="J13" s="19" t="inlineStr">
        <is>
          <t>Unter Maximum</t>
        </is>
      </c>
      <c r="K13" s="19">
        <f>COUNTIF('EO-Rechner'!S5:S13,"Unter Maximum")</f>
        <v/>
      </c>
    </row>
  </sheetData>
  <mergeCells count="7">
    <mergeCell ref="A1:H1"/>
    <mergeCell ref="A3:C3"/>
    <mergeCell ref="A4:C4"/>
    <mergeCell ref="A5:C5"/>
    <mergeCell ref="A6:C6"/>
    <mergeCell ref="A7:C7"/>
    <mergeCell ref="A8:C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 ht="26" customHeight="1">
      <c r="A1" s="21" t="inlineStr">
        <is>
          <t>Anleitung – Mutterschaftsentschädigung EO Rechner</t>
        </is>
      </c>
    </row>
    <row r="2">
      <c r="A2" s="29" t="inlineStr">
        <is>
          <t>Dieser Rechner ermittelt die Mutterschaftsentschädigung (Erwerbsersatzordnung, EOG) für werdende Mütter in der Schweiz. Anspruch besteht bei mind. 5 Monaten AHV-pflichtiger Erwerbstätigkeit während der Schwangerschaft und Erwerbstätigkeit zum Zeitpunkt der Geburt. Die Entschädigung beträgt 80% des durchschnittlichen Erwerbseinkommens der letzten 12 Monate vor der Geburt, maximal CHF 220.– pro Tag, während 98 Taggeldern (14 Wochen).</t>
        </is>
      </c>
    </row>
    <row r="3"/>
    <row r="4"/>
    <row r="5"/>
    <row r="6">
      <c r="A6" s="28" t="inlineStr">
        <is>
          <t>Blatt</t>
        </is>
      </c>
      <c r="B6" s="28" t="inlineStr">
        <is>
          <t>Beschreibung</t>
        </is>
      </c>
      <c r="C6" s="23" t="n"/>
      <c r="D6" s="24" t="n"/>
    </row>
    <row r="7" ht="42" customHeight="1">
      <c r="A7" s="22" t="inlineStr">
        <is>
          <t>EO-Rechner</t>
        </is>
      </c>
      <c r="B7" s="30" t="inlineStr">
        <is>
          <t>Haupttabelle mit allen Mitarbeiterinnen. Gelb hinterlegte Zellen (Bruttolohn) sind editierbar. Alle anderen Werte werden automatisch berechnet.</t>
        </is>
      </c>
      <c r="C7" s="23" t="n"/>
      <c r="D7" s="24" t="n"/>
    </row>
    <row r="8" ht="42" customHeight="1">
      <c r="A8" s="26" t="inlineStr">
        <is>
          <t>Dashboard</t>
        </is>
      </c>
      <c r="B8" s="31" t="inlineStr">
        <is>
          <t>Übersicht mit Kennzahlen (KPIs) und Diagrammen: Balkendiagramm der Gesamt-entschädigung pro Person sowie Kreisdiagramm der Statusverteilung.</t>
        </is>
      </c>
      <c r="C8" s="23" t="n"/>
      <c r="D8" s="24" t="n"/>
    </row>
    <row r="9" ht="42" customHeight="1">
      <c r="A9" s="22" t="inlineStr">
        <is>
          <t>Anleitung</t>
        </is>
      </c>
      <c r="B9" s="30" t="inlineStr">
        <is>
          <t>Diese Seite – Erklärung der Spalten und Berechnungslogik.</t>
        </is>
      </c>
      <c r="C9" s="23" t="n"/>
      <c r="D9" s="24" t="n"/>
    </row>
    <row r="10"/>
    <row r="11"/>
    <row r="12">
      <c r="A12" s="16" t="inlineStr">
        <is>
          <t>Spaltenerklärung (EO-Rechner)</t>
        </is>
      </c>
    </row>
    <row r="13" ht="30" customHeight="1">
      <c r="A13" s="32" t="inlineStr">
        <is>
          <t>Geburtsdatum Kind</t>
        </is>
      </c>
      <c r="B13" s="33" t="inlineStr">
        <is>
          <t>Effektives Geburtsdatum des Kindes.</t>
        </is>
      </c>
      <c r="C13" s="23" t="n"/>
      <c r="D13" s="24" t="n"/>
    </row>
    <row r="14" ht="30" customHeight="1">
      <c r="A14" s="32" t="inlineStr">
        <is>
          <t>Beginn / Ende Urlaub</t>
        </is>
      </c>
      <c r="B14" s="33" t="inlineStr">
        <is>
          <t>Mutterschaftsurlaub beginnt am Geburtstag und dauert 98 Tage (14 Wochen).</t>
        </is>
      </c>
      <c r="C14" s="23" t="n"/>
      <c r="D14" s="24" t="n"/>
    </row>
    <row r="15" ht="30" customHeight="1">
      <c r="A15" s="32" t="inlineStr">
        <is>
          <t>Beschäftigungsmonate</t>
        </is>
      </c>
      <c r="B15" s="33" t="inlineStr">
        <is>
          <t>Anzahl Monate AHV-pflichtiger Erwerbstätigkeit vor der Geburt (Minimum 5 Monate).</t>
        </is>
      </c>
      <c r="C15" s="23" t="n"/>
      <c r="D15" s="24" t="n"/>
    </row>
    <row r="16" ht="30" customHeight="1">
      <c r="A16" s="32" t="inlineStr">
        <is>
          <t>Bruttolohn pro Monat</t>
        </is>
      </c>
      <c r="B16" s="33" t="inlineStr">
        <is>
          <t>Durchschnittlicher Bruttolohn der letzten 12 Monate vor der Geburt (editierbar).</t>
        </is>
      </c>
      <c r="C16" s="23" t="n"/>
      <c r="D16" s="24" t="n"/>
    </row>
    <row r="17" ht="30" customHeight="1">
      <c r="A17" s="32" t="inlineStr">
        <is>
          <t>Ø Taggeslohn</t>
        </is>
      </c>
      <c r="B17" s="33" t="inlineStr">
        <is>
          <t>Monatslohn x 12 / 365 Tage.</t>
        </is>
      </c>
      <c r="C17" s="23" t="n"/>
      <c r="D17" s="24" t="n"/>
    </row>
    <row r="18" ht="30" customHeight="1">
      <c r="A18" s="32" t="inlineStr">
        <is>
          <t>EO-Taggeld 80%</t>
        </is>
      </c>
      <c r="B18" s="33" t="inlineStr">
        <is>
          <t>80% des durchschnittlichen Taggeslohns.</t>
        </is>
      </c>
      <c r="C18" s="23" t="n"/>
      <c r="D18" s="24" t="n"/>
    </row>
    <row r="19" ht="30" customHeight="1">
      <c r="A19" s="32" t="inlineStr">
        <is>
          <t>Maximaltaggeld</t>
        </is>
      </c>
      <c r="B19" s="33" t="inlineStr">
        <is>
          <t>Gesetzliches Maximum von CHF 220.– pro Tag (Stand 2026).</t>
        </is>
      </c>
      <c r="C19" s="23" t="n"/>
      <c r="D19" s="24" t="n"/>
    </row>
    <row r="20" ht="30" customHeight="1">
      <c r="A20" s="32" t="inlineStr">
        <is>
          <t>Effektives Taggeld</t>
        </is>
      </c>
      <c r="B20" s="33" t="inlineStr">
        <is>
          <t>Kleinerer Wert aus EO-Taggeld 80% und Maximaltaggeld.</t>
        </is>
      </c>
      <c r="C20" s="23" t="n"/>
      <c r="D20" s="24" t="n"/>
    </row>
    <row r="21" ht="30" customHeight="1">
      <c r="A21" s="32" t="inlineStr">
        <is>
          <t>Total EO-Entschädigung</t>
        </is>
      </c>
      <c r="B21" s="33" t="inlineStr">
        <is>
          <t>Effektives Taggeld x 98 Taggelder.</t>
        </is>
      </c>
      <c r="C21" s="23" t="n"/>
      <c r="D21" s="24" t="n"/>
    </row>
    <row r="22" ht="30" customHeight="1">
      <c r="A22" s="32" t="inlineStr">
        <is>
          <t>Anspruchsberechtigt</t>
        </is>
      </c>
      <c r="B22" s="33" t="inlineStr">
        <is>
          <t>Ja, wenn mindestens 5 Beschäftigungsmonate vorliegen.</t>
        </is>
      </c>
      <c r="C22" s="23" t="n"/>
      <c r="D22" s="24" t="n"/>
    </row>
  </sheetData>
  <mergeCells count="16">
    <mergeCell ref="A1:D1"/>
    <mergeCell ref="A2:D4"/>
    <mergeCell ref="B6:D6"/>
    <mergeCell ref="B7:D7"/>
    <mergeCell ref="B8:D8"/>
    <mergeCell ref="B9:D9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2026-07-21T16:43:07Z</dcterms:created>
  <dcterms:modified xmlns:dcterms="http://purl.org/dc/terms/" xmlns:xsi="http://www.w3.org/2001/XMLSchema-instance" xsi:type="dcterms:W3CDTF">2026-07-21T16:43:07Z</dcterms:modified>
</cp:coreProperties>
</file>