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zählung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'Kassenzählung'!$A$15:$K$115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HH:MM"/>
    <numFmt numFmtId="166" formatCode="CHF #'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C8102E"/>
      <sz val="11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 style="thin">
        <color rgb="00D1D5DB"/>
      </left>
      <right/>
      <top/>
      <bottom/>
      <diagonal/>
    </border>
    <border>
      <left/>
      <right style="thin">
        <color rgb="00D1D5DB"/>
      </right>
      <top/>
      <bottom/>
      <diagonal/>
    </border>
    <border>
      <left style="thin">
        <color rgb="00D1D5DB"/>
      </left>
      <right/>
      <top/>
      <bottom style="thin">
        <color rgb="00D1D5DB"/>
      </bottom>
      <diagonal/>
    </border>
    <border>
      <left/>
      <right/>
      <top/>
      <bottom style="thin">
        <color rgb="00D1D5DB"/>
      </bottom>
      <diagonal/>
    </border>
    <border>
      <left/>
      <right style="thin">
        <color rgb="00D1D5DB"/>
      </right>
      <top/>
      <bottom style="thin">
        <color rgb="00D1D5D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49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E293B"/>
        <sz val="10"/>
      </font>
      <fill>
        <patternFill patternType="solid">
          <fgColor rgb="00DCFCE7"/>
        </patternFill>
      </fill>
    </dxf>
    <dxf>
      <font>
        <name val="Calibri"/>
        <b val="1"/>
        <color rgb="001E293B"/>
        <sz val="10"/>
      </font>
      <fill>
        <patternFill patternType="solid">
          <fgColor rgb="00FEE2E2"/>
        </patternFill>
      </fill>
    </dxf>
    <dxf>
      <font>
        <name val="Calibri"/>
        <b val="1"/>
        <color rgb="001E293B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Gezählter Betrag nach Nominalwert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'Auswertung'!F15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'Auswertung'!$E$16:$E$29</f>
            </numRef>
          </cat>
          <val>
            <numRef>
              <f>'Auswertung'!$F$16:$F$29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Nominalwert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Münzen und Banknoten am Ist-Bestand</a:t>
            </a:r>
          </a:p>
        </rich>
      </tx>
    </title>
    <plotArea>
      <pieChart>
        <varyColors val="1"/>
        <ser>
          <idx val="0"/>
          <order val="0"/>
          <tx>
            <strRef>
              <f>'Auswertung'!J15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'Auswertung'!$I$16:$I$17</f>
            </numRef>
          </cat>
          <val>
            <numRef>
              <f>'Auswertung'!$J$16:$J$17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Differenzen je Nominalwert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'Auswertung'!G15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'Auswertung'!$E$16:$E$29</f>
            </numRef>
          </cat>
          <val>
            <numRef>
              <f>'Auswertung'!$G$16:$G$29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Differenz in CHF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Nominalwert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19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5" customWidth="1" min="3" max="3"/>
    <col width="11" customWidth="1" min="4" max="4"/>
    <col width="20" customWidth="1" min="5" max="5"/>
    <col width="13" customWidth="1" min="6" max="6"/>
    <col width="18" customWidth="1" min="7" max="7"/>
    <col width="16" customWidth="1" min="8" max="8"/>
    <col width="20" customWidth="1" min="9" max="9"/>
    <col width="25" customWidth="1" min="10" max="10"/>
    <col width="14" customWidth="1" min="11" max="11"/>
  </cols>
  <sheetData>
    <row r="1" ht="26" customHeight="1">
      <c r="A1" s="1" t="inlineStr">
        <is>
          <t>Kassenzählprotokoll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8" t="n"/>
    </row>
    <row r="2">
      <c r="A2" s="2" t="inlineStr">
        <is>
          <t>Tägliche Kassenbestandsaufnahme in CHF</t>
        </is>
      </c>
    </row>
    <row r="3">
      <c r="A3" s="3" t="inlineStr">
        <is>
          <t>Unternehmen</t>
        </is>
      </c>
      <c r="B3" s="4" t="inlineStr">
        <is>
          <t>Musterbetrieb AG</t>
        </is>
      </c>
      <c r="D3" s="3" t="inlineStr">
        <is>
          <t>UID-Nummer</t>
        </is>
      </c>
      <c r="E3" s="4" t="inlineStr">
        <is>
          <t>CHE-123.456.789 MWST</t>
        </is>
      </c>
      <c r="H3" s="3" t="inlineStr">
        <is>
          <t>Standort</t>
        </is>
      </c>
      <c r="I3" s="4" t="inlineStr">
        <is>
          <t>Zürich</t>
        </is>
      </c>
    </row>
    <row r="4">
      <c r="A4" s="3" t="inlineStr">
        <is>
          <t>Kassen-Nr.</t>
        </is>
      </c>
      <c r="B4" s="4" t="inlineStr">
        <is>
          <t>Kasse 01</t>
        </is>
      </c>
      <c r="D4" s="3" t="inlineStr">
        <is>
          <t>Zähldatum</t>
        </is>
      </c>
      <c r="E4" s="39" t="n">
        <v>46276</v>
      </c>
      <c r="H4" s="3" t="inlineStr">
        <is>
          <t>Zählzeit</t>
        </is>
      </c>
      <c r="I4" s="40" t="n">
        <v>0.7604166666666666</v>
      </c>
    </row>
    <row r="5">
      <c r="A5" s="3" t="inlineStr">
        <is>
          <t>Gezählt durch</t>
        </is>
      </c>
      <c r="B5" s="4" t="inlineStr">
        <is>
          <t>Andrea Keller</t>
        </is>
      </c>
      <c r="D5" s="3" t="inlineStr">
        <is>
          <t>Kontrolliert durch</t>
        </is>
      </c>
      <c r="E5" s="4" t="inlineStr">
        <is>
          <t>Markus Frei</t>
        </is>
      </c>
    </row>
    <row r="6"/>
    <row r="7">
      <c r="A7" s="3" t="inlineStr">
        <is>
          <t>Eröffnungsbestand</t>
        </is>
      </c>
      <c r="B7" s="41" t="n">
        <v>300</v>
      </c>
      <c r="D7" s="3" t="inlineStr">
        <is>
          <t>Barumsatz gemäss Kassenbericht</t>
        </is>
      </c>
      <c r="E7" s="41" t="n">
        <v>1245.5</v>
      </c>
      <c r="H7" s="3" t="inlineStr">
        <is>
          <t>Barauslagen</t>
        </is>
      </c>
      <c r="I7" s="41" t="n">
        <v>85</v>
      </c>
    </row>
    <row r="8">
      <c r="A8" s="3" t="inlineStr">
        <is>
          <t>Erwarteter Soll-Bestand</t>
        </is>
      </c>
      <c r="B8" s="42">
        <f>IF(OR(B7="",E7="",I7=""),"",B7+E7-I7)</f>
        <v/>
      </c>
      <c r="H8" s="3" t="inlineStr">
        <is>
          <t>Status Kassensturz</t>
        </is>
      </c>
      <c r="I8" s="9">
        <f>IF(H115=0,"Ausgeglichen",IF(H115&gt;0,"Überschuss","Fehlbetrag"))</f>
        <v/>
      </c>
    </row>
    <row r="9"/>
    <row r="10">
      <c r="A10" s="2" t="inlineStr">
        <is>
          <t>Erfassen Sie jede physisch gezählte Münz- und Banknotensorte. Gelbe Felder sind Eingabefelder.</t>
        </is>
      </c>
    </row>
    <row r="11"/>
    <row r="12"/>
    <row r="13"/>
    <row r="14"/>
    <row r="15">
      <c r="A15" s="10" t="inlineStr">
        <is>
          <t>Position</t>
        </is>
      </c>
      <c r="B15" s="10" t="inlineStr">
        <is>
          <t>Geldart</t>
        </is>
      </c>
      <c r="C15" s="10" t="inlineStr">
        <is>
          <t>Nominalwert</t>
        </is>
      </c>
      <c r="D15" s="10" t="inlineStr">
        <is>
          <t>Anzahl</t>
        </is>
      </c>
      <c r="E15" s="10" t="inlineStr">
        <is>
          <t>Gezählter Betrag CHF</t>
        </is>
      </c>
      <c r="F15" s="10" t="inlineStr">
        <is>
          <t>Soll-Anzahl</t>
        </is>
      </c>
      <c r="G15" s="10" t="inlineStr">
        <is>
          <t>Soll-Betrag CHF</t>
        </is>
      </c>
      <c r="H15" s="10" t="inlineStr">
        <is>
          <t>Differenz CHF</t>
        </is>
      </c>
      <c r="I15" s="10" t="inlineStr">
        <is>
          <t>Anteil am Ist-Bestand</t>
        </is>
      </c>
      <c r="J15" s="10" t="inlineStr">
        <is>
          <t>Bemerkung</t>
        </is>
      </c>
      <c r="K15" s="10" t="inlineStr">
        <is>
          <t>Kategorie</t>
        </is>
      </c>
    </row>
    <row r="16" ht="19" customHeight="1">
      <c r="A16" s="11">
        <f>IF(OR(B16&lt;&gt;"",C16&lt;&gt;"",D16&lt;&gt;""),1,"")</f>
        <v/>
      </c>
      <c r="B16" s="12" t="inlineStr">
        <is>
          <t>Münze</t>
        </is>
      </c>
      <c r="C16" s="43" t="n">
        <v>0.05</v>
      </c>
      <c r="D16" s="12" t="n">
        <v>18</v>
      </c>
      <c r="E16" s="44">
        <f>IF(OR(C16="",D16=""),"",C16*D16)</f>
        <v/>
      </c>
      <c r="F16" s="12" t="n">
        <v>18</v>
      </c>
      <c r="G16" s="44">
        <f>IF(OR(C16="",F16=""),"",C16*F16)</f>
        <v/>
      </c>
      <c r="H16" s="44">
        <f>IF(OR(E16="",G16=""),"",E16-G16)</f>
        <v/>
      </c>
      <c r="I16" s="45">
        <f>IF(OR($E$116=0,E16=""),"",E16/$E$116)</f>
        <v/>
      </c>
      <c r="J16" s="16" t="inlineStr"/>
      <c r="K16" s="11">
        <f>IF(B16="","",IFERROR(VLOOKUP(IF(B16="Münze","M","N"),'Auswertung'!$A$16:$C$17,3,FALSE),""))</f>
        <v/>
      </c>
    </row>
    <row r="17" ht="19" customHeight="1">
      <c r="A17" s="17">
        <f>IF(OR(B17&lt;&gt;"",C17&lt;&gt;"",D17&lt;&gt;""),2,"")</f>
        <v/>
      </c>
      <c r="B17" s="12" t="inlineStr">
        <is>
          <t>Münze</t>
        </is>
      </c>
      <c r="C17" s="43" t="n">
        <v>0.1</v>
      </c>
      <c r="D17" s="12" t="n">
        <v>26</v>
      </c>
      <c r="E17" s="46">
        <f>IF(OR(C17="",D17=""),"",C17*D17)</f>
        <v/>
      </c>
      <c r="F17" s="12" t="n">
        <v>26</v>
      </c>
      <c r="G17" s="46">
        <f>IF(OR(C17="",F17=""),"",C17*F17)</f>
        <v/>
      </c>
      <c r="H17" s="46">
        <f>IF(OR(E17="",G17=""),"",E17-G17)</f>
        <v/>
      </c>
      <c r="I17" s="47">
        <f>IF(OR($E$116=0,E17=""),"",E17/$E$116)</f>
        <v/>
      </c>
      <c r="J17" s="16" t="inlineStr"/>
      <c r="K17" s="17">
        <f>IF(B17="","",IFERROR(VLOOKUP(IF(B17="Münze","M","N"),'Auswertung'!$A$16:$C$17,3,FALSE),""))</f>
        <v/>
      </c>
    </row>
    <row r="18" ht="19" customHeight="1">
      <c r="A18" s="11">
        <f>IF(OR(B18&lt;&gt;"",C18&lt;&gt;"",D18&lt;&gt;""),3,"")</f>
        <v/>
      </c>
      <c r="B18" s="12" t="inlineStr">
        <is>
          <t>Münze</t>
        </is>
      </c>
      <c r="C18" s="43" t="n">
        <v>0.2</v>
      </c>
      <c r="D18" s="12" t="n">
        <v>34</v>
      </c>
      <c r="E18" s="44">
        <f>IF(OR(C18="",D18=""),"",C18*D18)</f>
        <v/>
      </c>
      <c r="F18" s="12" t="n">
        <v>35</v>
      </c>
      <c r="G18" s="44">
        <f>IF(OR(C18="",F18=""),"",C18*F18)</f>
        <v/>
      </c>
      <c r="H18" s="44">
        <f>IF(OR(E18="",G18=""),"",E18-G18)</f>
        <v/>
      </c>
      <c r="I18" s="45">
        <f>IF(OR($E$116=0,E18=""),"",E18/$E$116)</f>
        <v/>
      </c>
      <c r="J18" s="16" t="inlineStr">
        <is>
          <t>Soll-Anzahl prüfen</t>
        </is>
      </c>
      <c r="K18" s="11">
        <f>IF(B18="","",IFERROR(VLOOKUP(IF(B18="Münze","M","N"),'Auswertung'!$A$16:$C$17,3,FALSE),""))</f>
        <v/>
      </c>
    </row>
    <row r="19" ht="19" customHeight="1">
      <c r="A19" s="17">
        <f>IF(OR(B19&lt;&gt;"",C19&lt;&gt;"",D19&lt;&gt;""),4,"")</f>
        <v/>
      </c>
      <c r="B19" s="12" t="inlineStr">
        <is>
          <t>Münze</t>
        </is>
      </c>
      <c r="C19" s="43" t="n">
        <v>0.5</v>
      </c>
      <c r="D19" s="12" t="n">
        <v>22</v>
      </c>
      <c r="E19" s="46">
        <f>IF(OR(C19="",D19=""),"",C19*D19)</f>
        <v/>
      </c>
      <c r="F19" s="12" t="n">
        <v>22</v>
      </c>
      <c r="G19" s="46">
        <f>IF(OR(C19="",F19=""),"",C19*F19)</f>
        <v/>
      </c>
      <c r="H19" s="46">
        <f>IF(OR(E19="",G19=""),"",E19-G19)</f>
        <v/>
      </c>
      <c r="I19" s="47">
        <f>IF(OR($E$116=0,E19=""),"",E19/$E$116)</f>
        <v/>
      </c>
      <c r="J19" s="16" t="inlineStr"/>
      <c r="K19" s="17">
        <f>IF(B19="","",IFERROR(VLOOKUP(IF(B19="Münze","M","N"),'Auswertung'!$A$16:$C$17,3,FALSE),""))</f>
        <v/>
      </c>
    </row>
    <row r="20" ht="19" customHeight="1">
      <c r="A20" s="11">
        <f>IF(OR(B20&lt;&gt;"",C20&lt;&gt;"",D20&lt;&gt;""),5,"")</f>
        <v/>
      </c>
      <c r="B20" s="12" t="inlineStr">
        <is>
          <t>Münze</t>
        </is>
      </c>
      <c r="C20" s="43" t="n">
        <v>1</v>
      </c>
      <c r="D20" s="12" t="n">
        <v>41</v>
      </c>
      <c r="E20" s="44">
        <f>IF(OR(C20="",D20=""),"",C20*D20)</f>
        <v/>
      </c>
      <c r="F20" s="12" t="n">
        <v>40</v>
      </c>
      <c r="G20" s="44">
        <f>IF(OR(C20="",F20=""),"",C20*F20)</f>
        <v/>
      </c>
      <c r="H20" s="44">
        <f>IF(OR(E20="",G20=""),"",E20-G20)</f>
        <v/>
      </c>
      <c r="I20" s="45">
        <f>IF(OR($E$116=0,E20=""),"",E20/$E$116)</f>
        <v/>
      </c>
      <c r="J20" s="16" t="inlineStr">
        <is>
          <t>Zusätzliche Münze</t>
        </is>
      </c>
      <c r="K20" s="11">
        <f>IF(B20="","",IFERROR(VLOOKUP(IF(B20="Münze","M","N"),'Auswertung'!$A$16:$C$17,3,FALSE),""))</f>
        <v/>
      </c>
    </row>
    <row r="21" ht="19" customHeight="1">
      <c r="A21" s="17">
        <f>IF(OR(B21&lt;&gt;"",C21&lt;&gt;"",D21&lt;&gt;""),6,"")</f>
        <v/>
      </c>
      <c r="B21" s="12" t="inlineStr">
        <is>
          <t>Münze</t>
        </is>
      </c>
      <c r="C21" s="43" t="n">
        <v>2</v>
      </c>
      <c r="D21" s="12" t="n">
        <v>36</v>
      </c>
      <c r="E21" s="46">
        <f>IF(OR(C21="",D21=""),"",C21*D21)</f>
        <v/>
      </c>
      <c r="F21" s="12" t="n">
        <v>36</v>
      </c>
      <c r="G21" s="46">
        <f>IF(OR(C21="",F21=""),"",C21*F21)</f>
        <v/>
      </c>
      <c r="H21" s="46">
        <f>IF(OR(E21="",G21=""),"",E21-G21)</f>
        <v/>
      </c>
      <c r="I21" s="47">
        <f>IF(OR($E$116=0,E21=""),"",E21/$E$116)</f>
        <v/>
      </c>
      <c r="J21" s="16" t="inlineStr"/>
      <c r="K21" s="17">
        <f>IF(B21="","",IFERROR(VLOOKUP(IF(B21="Münze","M","N"),'Auswertung'!$A$16:$C$17,3,FALSE),""))</f>
        <v/>
      </c>
    </row>
    <row r="22" ht="19" customHeight="1">
      <c r="A22" s="11">
        <f>IF(OR(B22&lt;&gt;"",C22&lt;&gt;"",D22&lt;&gt;""),7,"")</f>
        <v/>
      </c>
      <c r="B22" s="12" t="inlineStr">
        <is>
          <t>Münze</t>
        </is>
      </c>
      <c r="C22" s="43" t="n">
        <v>5</v>
      </c>
      <c r="D22" s="12" t="n">
        <v>19</v>
      </c>
      <c r="E22" s="44">
        <f>IF(OR(C22="",D22=""),"",C22*D22)</f>
        <v/>
      </c>
      <c r="F22" s="12" t="n">
        <v>19</v>
      </c>
      <c r="G22" s="44">
        <f>IF(OR(C22="",F22=""),"",C22*F22)</f>
        <v/>
      </c>
      <c r="H22" s="44">
        <f>IF(OR(E22="",G22=""),"",E22-G22)</f>
        <v/>
      </c>
      <c r="I22" s="45">
        <f>IF(OR($E$116=0,E22=""),"",E22/$E$116)</f>
        <v/>
      </c>
      <c r="J22" s="16" t="inlineStr"/>
      <c r="K22" s="11">
        <f>IF(B22="","",IFERROR(VLOOKUP(IF(B22="Münze","M","N"),'Auswertung'!$A$16:$C$17,3,FALSE),""))</f>
        <v/>
      </c>
    </row>
    <row r="23" ht="19" customHeight="1">
      <c r="A23" s="17">
        <f>IF(OR(B23&lt;&gt;"",C23&lt;&gt;"",D23&lt;&gt;""),8,"")</f>
        <v/>
      </c>
      <c r="B23" s="12" t="inlineStr">
        <is>
          <t>Banknote</t>
        </is>
      </c>
      <c r="C23" s="43" t="n">
        <v>10</v>
      </c>
      <c r="D23" s="12" t="n">
        <v>14</v>
      </c>
      <c r="E23" s="46">
        <f>IF(OR(C23="",D23=""),"",C23*D23)</f>
        <v/>
      </c>
      <c r="F23" s="12" t="n">
        <v>14</v>
      </c>
      <c r="G23" s="46">
        <f>IF(OR(C23="",F23=""),"",C23*F23)</f>
        <v/>
      </c>
      <c r="H23" s="46">
        <f>IF(OR(E23="",G23=""),"",E23-G23)</f>
        <v/>
      </c>
      <c r="I23" s="47">
        <f>IF(OR($E$116=0,E23=""),"",E23/$E$116)</f>
        <v/>
      </c>
      <c r="J23" s="16" t="inlineStr"/>
      <c r="K23" s="17">
        <f>IF(B23="","",IFERROR(VLOOKUP(IF(B23="Münze","M","N"),'Auswertung'!$A$16:$C$17,3,FALSE),""))</f>
        <v/>
      </c>
    </row>
    <row r="24" ht="19" customHeight="1">
      <c r="A24" s="11">
        <f>IF(OR(B24&lt;&gt;"",C24&lt;&gt;"",D24&lt;&gt;""),9,"")</f>
        <v/>
      </c>
      <c r="B24" s="12" t="inlineStr">
        <is>
          <t>Banknote</t>
        </is>
      </c>
      <c r="C24" s="43" t="n">
        <v>20</v>
      </c>
      <c r="D24" s="12" t="n">
        <v>11</v>
      </c>
      <c r="E24" s="44">
        <f>IF(OR(C24="",D24=""),"",C24*D24)</f>
        <v/>
      </c>
      <c r="F24" s="12" t="n">
        <v>12</v>
      </c>
      <c r="G24" s="44">
        <f>IF(OR(C24="",F24=""),"",C24*F24)</f>
        <v/>
      </c>
      <c r="H24" s="44">
        <f>IF(OR(E24="",G24=""),"",E24-G24)</f>
        <v/>
      </c>
      <c r="I24" s="45">
        <f>IF(OR($E$116=0,E24=""),"",E24/$E$116)</f>
        <v/>
      </c>
      <c r="J24" s="16" t="inlineStr">
        <is>
          <t>Eine Note fehlt</t>
        </is>
      </c>
      <c r="K24" s="11">
        <f>IF(B24="","",IFERROR(VLOOKUP(IF(B24="Münze","M","N"),'Auswertung'!$A$16:$C$17,3,FALSE),""))</f>
        <v/>
      </c>
    </row>
    <row r="25" ht="19" customHeight="1">
      <c r="A25" s="17">
        <f>IF(OR(B25&lt;&gt;"",C25&lt;&gt;"",D25&lt;&gt;""),10,"")</f>
        <v/>
      </c>
      <c r="B25" s="12" t="inlineStr">
        <is>
          <t>Banknote</t>
        </is>
      </c>
      <c r="C25" s="43" t="n">
        <v>50</v>
      </c>
      <c r="D25" s="12" t="n">
        <v>7</v>
      </c>
      <c r="E25" s="46">
        <f>IF(OR(C25="",D25=""),"",C25*D25)</f>
        <v/>
      </c>
      <c r="F25" s="12" t="n">
        <v>7</v>
      </c>
      <c r="G25" s="46">
        <f>IF(OR(C25="",F25=""),"",C25*F25)</f>
        <v/>
      </c>
      <c r="H25" s="46">
        <f>IF(OR(E25="",G25=""),"",E25-G25)</f>
        <v/>
      </c>
      <c r="I25" s="47">
        <f>IF(OR($E$116=0,E25=""),"",E25/$E$116)</f>
        <v/>
      </c>
      <c r="J25" s="16" t="inlineStr"/>
      <c r="K25" s="17">
        <f>IF(B25="","",IFERROR(VLOOKUP(IF(B25="Münze","M","N"),'Auswertung'!$A$16:$C$17,3,FALSE),""))</f>
        <v/>
      </c>
    </row>
    <row r="26" ht="19" customHeight="1">
      <c r="A26" s="11">
        <f>IF(OR(B26&lt;&gt;"",C26&lt;&gt;"",D26&lt;&gt;""),11,"")</f>
        <v/>
      </c>
      <c r="B26" s="12" t="n"/>
      <c r="C26" s="43" t="n"/>
      <c r="D26" s="12" t="n"/>
      <c r="E26" s="44">
        <f>IF(OR(C26="",D26=""),"",C26*D26)</f>
        <v/>
      </c>
      <c r="F26" s="12" t="n"/>
      <c r="G26" s="44">
        <f>IF(OR(C26="",F26=""),"",C26*F26)</f>
        <v/>
      </c>
      <c r="H26" s="44">
        <f>IF(OR(E26="",G26=""),"",E26-G26)</f>
        <v/>
      </c>
      <c r="I26" s="45">
        <f>IF(OR($E$116=0,E26=""),"",E26/$E$116)</f>
        <v/>
      </c>
      <c r="J26" s="16" t="n"/>
      <c r="K26" s="11">
        <f>IF(B26="","",IFERROR(VLOOKUP(IF(B26="Münze","M","N"),'Auswertung'!$A$16:$C$17,3,FALSE),""))</f>
        <v/>
      </c>
    </row>
    <row r="27" ht="19" customHeight="1">
      <c r="A27" s="17">
        <f>IF(OR(B27&lt;&gt;"",C27&lt;&gt;"",D27&lt;&gt;""),12,"")</f>
        <v/>
      </c>
      <c r="B27" s="12" t="n"/>
      <c r="C27" s="43" t="n"/>
      <c r="D27" s="12" t="n"/>
      <c r="E27" s="46">
        <f>IF(OR(C27="",D27=""),"",C27*D27)</f>
        <v/>
      </c>
      <c r="F27" s="12" t="n"/>
      <c r="G27" s="46">
        <f>IF(OR(C27="",F27=""),"",C27*F27)</f>
        <v/>
      </c>
      <c r="H27" s="46">
        <f>IF(OR(E27="",G27=""),"",E27-G27)</f>
        <v/>
      </c>
      <c r="I27" s="47">
        <f>IF(OR($E$116=0,E27=""),"",E27/$E$116)</f>
        <v/>
      </c>
      <c r="J27" s="16" t="n"/>
      <c r="K27" s="17">
        <f>IF(B27="","",IFERROR(VLOOKUP(IF(B27="Münze","M","N"),'Auswertung'!$A$16:$C$17,3,FALSE),""))</f>
        <v/>
      </c>
    </row>
    <row r="28" ht="19" customHeight="1">
      <c r="A28" s="11">
        <f>IF(OR(B28&lt;&gt;"",C28&lt;&gt;"",D28&lt;&gt;""),13,"")</f>
        <v/>
      </c>
      <c r="B28" s="12" t="n"/>
      <c r="C28" s="43" t="n"/>
      <c r="D28" s="12" t="n"/>
      <c r="E28" s="44">
        <f>IF(OR(C28="",D28=""),"",C28*D28)</f>
        <v/>
      </c>
      <c r="F28" s="12" t="n"/>
      <c r="G28" s="44">
        <f>IF(OR(C28="",F28=""),"",C28*F28)</f>
        <v/>
      </c>
      <c r="H28" s="44">
        <f>IF(OR(E28="",G28=""),"",E28-G28)</f>
        <v/>
      </c>
      <c r="I28" s="45">
        <f>IF(OR($E$116=0,E28=""),"",E28/$E$116)</f>
        <v/>
      </c>
      <c r="J28" s="16" t="n"/>
      <c r="K28" s="11">
        <f>IF(B28="","",IFERROR(VLOOKUP(IF(B28="Münze","M","N"),'Auswertung'!$A$16:$C$17,3,FALSE),""))</f>
        <v/>
      </c>
    </row>
    <row r="29" ht="19" customHeight="1">
      <c r="A29" s="17">
        <f>IF(OR(B29&lt;&gt;"",C29&lt;&gt;"",D29&lt;&gt;""),14,"")</f>
        <v/>
      </c>
      <c r="B29" s="12" t="n"/>
      <c r="C29" s="43" t="n"/>
      <c r="D29" s="12" t="n"/>
      <c r="E29" s="46">
        <f>IF(OR(C29="",D29=""),"",C29*D29)</f>
        <v/>
      </c>
      <c r="F29" s="12" t="n"/>
      <c r="G29" s="46">
        <f>IF(OR(C29="",F29=""),"",C29*F29)</f>
        <v/>
      </c>
      <c r="H29" s="46">
        <f>IF(OR(E29="",G29=""),"",E29-G29)</f>
        <v/>
      </c>
      <c r="I29" s="47">
        <f>IF(OR($E$116=0,E29=""),"",E29/$E$116)</f>
        <v/>
      </c>
      <c r="J29" s="16" t="n"/>
      <c r="K29" s="17">
        <f>IF(B29="","",IFERROR(VLOOKUP(IF(B29="Münze","M","N"),'Auswertung'!$A$16:$C$17,3,FALSE),""))</f>
        <v/>
      </c>
    </row>
    <row r="30" ht="19" customHeight="1">
      <c r="A30" s="11">
        <f>IF(OR(B30&lt;&gt;"",C30&lt;&gt;"",D30&lt;&gt;""),15,"")</f>
        <v/>
      </c>
      <c r="B30" s="12" t="n"/>
      <c r="C30" s="43" t="n"/>
      <c r="D30" s="12" t="n"/>
      <c r="E30" s="44">
        <f>IF(OR(C30="",D30=""),"",C30*D30)</f>
        <v/>
      </c>
      <c r="F30" s="12" t="n"/>
      <c r="G30" s="44">
        <f>IF(OR(C30="",F30=""),"",C30*F30)</f>
        <v/>
      </c>
      <c r="H30" s="44">
        <f>IF(OR(E30="",G30=""),"",E30-G30)</f>
        <v/>
      </c>
      <c r="I30" s="45">
        <f>IF(OR($E$116=0,E30=""),"",E30/$E$116)</f>
        <v/>
      </c>
      <c r="J30" s="16" t="n"/>
      <c r="K30" s="11">
        <f>IF(B30="","",IFERROR(VLOOKUP(IF(B30="Münze","M","N"),'Auswertung'!$A$16:$C$17,3,FALSE),""))</f>
        <v/>
      </c>
    </row>
    <row r="31" ht="19" customHeight="1">
      <c r="A31" s="17">
        <f>IF(OR(B31&lt;&gt;"",C31&lt;&gt;"",D31&lt;&gt;""),16,"")</f>
        <v/>
      </c>
      <c r="B31" s="12" t="n"/>
      <c r="C31" s="43" t="n"/>
      <c r="D31" s="12" t="n"/>
      <c r="E31" s="46">
        <f>IF(OR(C31="",D31=""),"",C31*D31)</f>
        <v/>
      </c>
      <c r="F31" s="12" t="n"/>
      <c r="G31" s="46">
        <f>IF(OR(C31="",F31=""),"",C31*F31)</f>
        <v/>
      </c>
      <c r="H31" s="46">
        <f>IF(OR(E31="",G31=""),"",E31-G31)</f>
        <v/>
      </c>
      <c r="I31" s="47">
        <f>IF(OR($E$116=0,E31=""),"",E31/$E$116)</f>
        <v/>
      </c>
      <c r="J31" s="16" t="n"/>
      <c r="K31" s="17">
        <f>IF(B31="","",IFERROR(VLOOKUP(IF(B31="Münze","M","N"),'Auswertung'!$A$16:$C$17,3,FALSE),""))</f>
        <v/>
      </c>
    </row>
    <row r="32" ht="19" customHeight="1">
      <c r="A32" s="11">
        <f>IF(OR(B32&lt;&gt;"",C32&lt;&gt;"",D32&lt;&gt;""),17,"")</f>
        <v/>
      </c>
      <c r="B32" s="12" t="n"/>
      <c r="C32" s="43" t="n"/>
      <c r="D32" s="12" t="n"/>
      <c r="E32" s="44">
        <f>IF(OR(C32="",D32=""),"",C32*D32)</f>
        <v/>
      </c>
      <c r="F32" s="12" t="n"/>
      <c r="G32" s="44">
        <f>IF(OR(C32="",F32=""),"",C32*F32)</f>
        <v/>
      </c>
      <c r="H32" s="44">
        <f>IF(OR(E32="",G32=""),"",E32-G32)</f>
        <v/>
      </c>
      <c r="I32" s="45">
        <f>IF(OR($E$116=0,E32=""),"",E32/$E$116)</f>
        <v/>
      </c>
      <c r="J32" s="16" t="n"/>
      <c r="K32" s="11">
        <f>IF(B32="","",IFERROR(VLOOKUP(IF(B32="Münze","M","N"),'Auswertung'!$A$16:$C$17,3,FALSE),""))</f>
        <v/>
      </c>
    </row>
    <row r="33" ht="19" customHeight="1">
      <c r="A33" s="17">
        <f>IF(OR(B33&lt;&gt;"",C33&lt;&gt;"",D33&lt;&gt;""),18,"")</f>
        <v/>
      </c>
      <c r="B33" s="12" t="n"/>
      <c r="C33" s="43" t="n"/>
      <c r="D33" s="12" t="n"/>
      <c r="E33" s="46">
        <f>IF(OR(C33="",D33=""),"",C33*D33)</f>
        <v/>
      </c>
      <c r="F33" s="12" t="n"/>
      <c r="G33" s="46">
        <f>IF(OR(C33="",F33=""),"",C33*F33)</f>
        <v/>
      </c>
      <c r="H33" s="46">
        <f>IF(OR(E33="",G33=""),"",E33-G33)</f>
        <v/>
      </c>
      <c r="I33" s="47">
        <f>IF(OR($E$116=0,E33=""),"",E33/$E$116)</f>
        <v/>
      </c>
      <c r="J33" s="16" t="n"/>
      <c r="K33" s="17">
        <f>IF(B33="","",IFERROR(VLOOKUP(IF(B33="Münze","M","N"),'Auswertung'!$A$16:$C$17,3,FALSE),""))</f>
        <v/>
      </c>
    </row>
    <row r="34" ht="19" customHeight="1">
      <c r="A34" s="11">
        <f>IF(OR(B34&lt;&gt;"",C34&lt;&gt;"",D34&lt;&gt;""),19,"")</f>
        <v/>
      </c>
      <c r="B34" s="12" t="n"/>
      <c r="C34" s="43" t="n"/>
      <c r="D34" s="12" t="n"/>
      <c r="E34" s="44">
        <f>IF(OR(C34="",D34=""),"",C34*D34)</f>
        <v/>
      </c>
      <c r="F34" s="12" t="n"/>
      <c r="G34" s="44">
        <f>IF(OR(C34="",F34=""),"",C34*F34)</f>
        <v/>
      </c>
      <c r="H34" s="44">
        <f>IF(OR(E34="",G34=""),"",E34-G34)</f>
        <v/>
      </c>
      <c r="I34" s="45">
        <f>IF(OR($E$116=0,E34=""),"",E34/$E$116)</f>
        <v/>
      </c>
      <c r="J34" s="16" t="n"/>
      <c r="K34" s="11">
        <f>IF(B34="","",IFERROR(VLOOKUP(IF(B34="Münze","M","N"),'Auswertung'!$A$16:$C$17,3,FALSE),""))</f>
        <v/>
      </c>
    </row>
    <row r="35" ht="19" customHeight="1">
      <c r="A35" s="17">
        <f>IF(OR(B35&lt;&gt;"",C35&lt;&gt;"",D35&lt;&gt;""),20,"")</f>
        <v/>
      </c>
      <c r="B35" s="12" t="n"/>
      <c r="C35" s="43" t="n"/>
      <c r="D35" s="12" t="n"/>
      <c r="E35" s="46">
        <f>IF(OR(C35="",D35=""),"",C35*D35)</f>
        <v/>
      </c>
      <c r="F35" s="12" t="n"/>
      <c r="G35" s="46">
        <f>IF(OR(C35="",F35=""),"",C35*F35)</f>
        <v/>
      </c>
      <c r="H35" s="46">
        <f>IF(OR(E35="",G35=""),"",E35-G35)</f>
        <v/>
      </c>
      <c r="I35" s="47">
        <f>IF(OR($E$116=0,E35=""),"",E35/$E$116)</f>
        <v/>
      </c>
      <c r="J35" s="16" t="n"/>
      <c r="K35" s="17">
        <f>IF(B35="","",IFERROR(VLOOKUP(IF(B35="Münze","M","N"),'Auswertung'!$A$16:$C$17,3,FALSE),""))</f>
        <v/>
      </c>
    </row>
    <row r="36" ht="19" customHeight="1">
      <c r="A36" s="11">
        <f>IF(OR(B36&lt;&gt;"",C36&lt;&gt;"",D36&lt;&gt;""),21,"")</f>
        <v/>
      </c>
      <c r="B36" s="12" t="n"/>
      <c r="C36" s="43" t="n"/>
      <c r="D36" s="12" t="n"/>
      <c r="E36" s="44">
        <f>IF(OR(C36="",D36=""),"",C36*D36)</f>
        <v/>
      </c>
      <c r="F36" s="12" t="n"/>
      <c r="G36" s="44">
        <f>IF(OR(C36="",F36=""),"",C36*F36)</f>
        <v/>
      </c>
      <c r="H36" s="44">
        <f>IF(OR(E36="",G36=""),"",E36-G36)</f>
        <v/>
      </c>
      <c r="I36" s="45">
        <f>IF(OR($E$116=0,E36=""),"",E36/$E$116)</f>
        <v/>
      </c>
      <c r="J36" s="16" t="n"/>
      <c r="K36" s="11">
        <f>IF(B36="","",IFERROR(VLOOKUP(IF(B36="Münze","M","N"),'Auswertung'!$A$16:$C$17,3,FALSE),""))</f>
        <v/>
      </c>
    </row>
    <row r="37" ht="19" customHeight="1">
      <c r="A37" s="17">
        <f>IF(OR(B37&lt;&gt;"",C37&lt;&gt;"",D37&lt;&gt;""),22,"")</f>
        <v/>
      </c>
      <c r="B37" s="12" t="n"/>
      <c r="C37" s="43" t="n"/>
      <c r="D37" s="12" t="n"/>
      <c r="E37" s="46">
        <f>IF(OR(C37="",D37=""),"",C37*D37)</f>
        <v/>
      </c>
      <c r="F37" s="12" t="n"/>
      <c r="G37" s="46">
        <f>IF(OR(C37="",F37=""),"",C37*F37)</f>
        <v/>
      </c>
      <c r="H37" s="46">
        <f>IF(OR(E37="",G37=""),"",E37-G37)</f>
        <v/>
      </c>
      <c r="I37" s="47">
        <f>IF(OR($E$116=0,E37=""),"",E37/$E$116)</f>
        <v/>
      </c>
      <c r="J37" s="16" t="n"/>
      <c r="K37" s="17">
        <f>IF(B37="","",IFERROR(VLOOKUP(IF(B37="Münze","M","N"),'Auswertung'!$A$16:$C$17,3,FALSE),""))</f>
        <v/>
      </c>
    </row>
    <row r="38" ht="19" customHeight="1">
      <c r="A38" s="11">
        <f>IF(OR(B38&lt;&gt;"",C38&lt;&gt;"",D38&lt;&gt;""),23,"")</f>
        <v/>
      </c>
      <c r="B38" s="12" t="n"/>
      <c r="C38" s="43" t="n"/>
      <c r="D38" s="12" t="n"/>
      <c r="E38" s="44">
        <f>IF(OR(C38="",D38=""),"",C38*D38)</f>
        <v/>
      </c>
      <c r="F38" s="12" t="n"/>
      <c r="G38" s="44">
        <f>IF(OR(C38="",F38=""),"",C38*F38)</f>
        <v/>
      </c>
      <c r="H38" s="44">
        <f>IF(OR(E38="",G38=""),"",E38-G38)</f>
        <v/>
      </c>
      <c r="I38" s="45">
        <f>IF(OR($E$116=0,E38=""),"",E38/$E$116)</f>
        <v/>
      </c>
      <c r="J38" s="16" t="n"/>
      <c r="K38" s="11">
        <f>IF(B38="","",IFERROR(VLOOKUP(IF(B38="Münze","M","N"),'Auswertung'!$A$16:$C$17,3,FALSE),""))</f>
        <v/>
      </c>
    </row>
    <row r="39" ht="19" customHeight="1">
      <c r="A39" s="17">
        <f>IF(OR(B39&lt;&gt;"",C39&lt;&gt;"",D39&lt;&gt;""),24,"")</f>
        <v/>
      </c>
      <c r="B39" s="12" t="n"/>
      <c r="C39" s="43" t="n"/>
      <c r="D39" s="12" t="n"/>
      <c r="E39" s="46">
        <f>IF(OR(C39="",D39=""),"",C39*D39)</f>
        <v/>
      </c>
      <c r="F39" s="12" t="n"/>
      <c r="G39" s="46">
        <f>IF(OR(C39="",F39=""),"",C39*F39)</f>
        <v/>
      </c>
      <c r="H39" s="46">
        <f>IF(OR(E39="",G39=""),"",E39-G39)</f>
        <v/>
      </c>
      <c r="I39" s="47">
        <f>IF(OR($E$116=0,E39=""),"",E39/$E$116)</f>
        <v/>
      </c>
      <c r="J39" s="16" t="n"/>
      <c r="K39" s="17">
        <f>IF(B39="","",IFERROR(VLOOKUP(IF(B39="Münze","M","N"),'Auswertung'!$A$16:$C$17,3,FALSE),""))</f>
        <v/>
      </c>
    </row>
    <row r="40" ht="19" customHeight="1">
      <c r="A40" s="11">
        <f>IF(OR(B40&lt;&gt;"",C40&lt;&gt;"",D40&lt;&gt;""),25,"")</f>
        <v/>
      </c>
      <c r="B40" s="12" t="n"/>
      <c r="C40" s="43" t="n"/>
      <c r="D40" s="12" t="n"/>
      <c r="E40" s="44">
        <f>IF(OR(C40="",D40=""),"",C40*D40)</f>
        <v/>
      </c>
      <c r="F40" s="12" t="n"/>
      <c r="G40" s="44">
        <f>IF(OR(C40="",F40=""),"",C40*F40)</f>
        <v/>
      </c>
      <c r="H40" s="44">
        <f>IF(OR(E40="",G40=""),"",E40-G40)</f>
        <v/>
      </c>
      <c r="I40" s="45">
        <f>IF(OR($E$116=0,E40=""),"",E40/$E$116)</f>
        <v/>
      </c>
      <c r="J40" s="16" t="n"/>
      <c r="K40" s="11">
        <f>IF(B40="","",IFERROR(VLOOKUP(IF(B40="Münze","M","N"),'Auswertung'!$A$16:$C$17,3,FALSE),""))</f>
        <v/>
      </c>
    </row>
    <row r="41" ht="19" customHeight="1">
      <c r="A41" s="17">
        <f>IF(OR(B41&lt;&gt;"",C41&lt;&gt;"",D41&lt;&gt;""),26,"")</f>
        <v/>
      </c>
      <c r="B41" s="12" t="n"/>
      <c r="C41" s="43" t="n"/>
      <c r="D41" s="12" t="n"/>
      <c r="E41" s="46">
        <f>IF(OR(C41="",D41=""),"",C41*D41)</f>
        <v/>
      </c>
      <c r="F41" s="12" t="n"/>
      <c r="G41" s="46">
        <f>IF(OR(C41="",F41=""),"",C41*F41)</f>
        <v/>
      </c>
      <c r="H41" s="46">
        <f>IF(OR(E41="",G41=""),"",E41-G41)</f>
        <v/>
      </c>
      <c r="I41" s="47">
        <f>IF(OR($E$116=0,E41=""),"",E41/$E$116)</f>
        <v/>
      </c>
      <c r="J41" s="16" t="n"/>
      <c r="K41" s="17">
        <f>IF(B41="","",IFERROR(VLOOKUP(IF(B41="Münze","M","N"),'Auswertung'!$A$16:$C$17,3,FALSE),""))</f>
        <v/>
      </c>
    </row>
    <row r="42" ht="19" customHeight="1">
      <c r="A42" s="11">
        <f>IF(OR(B42&lt;&gt;"",C42&lt;&gt;"",D42&lt;&gt;""),27,"")</f>
        <v/>
      </c>
      <c r="B42" s="12" t="n"/>
      <c r="C42" s="43" t="n"/>
      <c r="D42" s="12" t="n"/>
      <c r="E42" s="44">
        <f>IF(OR(C42="",D42=""),"",C42*D42)</f>
        <v/>
      </c>
      <c r="F42" s="12" t="n"/>
      <c r="G42" s="44">
        <f>IF(OR(C42="",F42=""),"",C42*F42)</f>
        <v/>
      </c>
      <c r="H42" s="44">
        <f>IF(OR(E42="",G42=""),"",E42-G42)</f>
        <v/>
      </c>
      <c r="I42" s="45">
        <f>IF(OR($E$116=0,E42=""),"",E42/$E$116)</f>
        <v/>
      </c>
      <c r="J42" s="16" t="n"/>
      <c r="K42" s="11">
        <f>IF(B42="","",IFERROR(VLOOKUP(IF(B42="Münze","M","N"),'Auswertung'!$A$16:$C$17,3,FALSE),""))</f>
        <v/>
      </c>
    </row>
    <row r="43" ht="19" customHeight="1">
      <c r="A43" s="17">
        <f>IF(OR(B43&lt;&gt;"",C43&lt;&gt;"",D43&lt;&gt;""),28,"")</f>
        <v/>
      </c>
      <c r="B43" s="12" t="n"/>
      <c r="C43" s="43" t="n"/>
      <c r="D43" s="12" t="n"/>
      <c r="E43" s="46">
        <f>IF(OR(C43="",D43=""),"",C43*D43)</f>
        <v/>
      </c>
      <c r="F43" s="12" t="n"/>
      <c r="G43" s="46">
        <f>IF(OR(C43="",F43=""),"",C43*F43)</f>
        <v/>
      </c>
      <c r="H43" s="46">
        <f>IF(OR(E43="",G43=""),"",E43-G43)</f>
        <v/>
      </c>
      <c r="I43" s="47">
        <f>IF(OR($E$116=0,E43=""),"",E43/$E$116)</f>
        <v/>
      </c>
      <c r="J43" s="16" t="n"/>
      <c r="K43" s="17">
        <f>IF(B43="","",IFERROR(VLOOKUP(IF(B43="Münze","M","N"),'Auswertung'!$A$16:$C$17,3,FALSE),""))</f>
        <v/>
      </c>
    </row>
    <row r="44" ht="19" customHeight="1">
      <c r="A44" s="11">
        <f>IF(OR(B44&lt;&gt;"",C44&lt;&gt;"",D44&lt;&gt;""),29,"")</f>
        <v/>
      </c>
      <c r="B44" s="12" t="n"/>
      <c r="C44" s="43" t="n"/>
      <c r="D44" s="12" t="n"/>
      <c r="E44" s="44">
        <f>IF(OR(C44="",D44=""),"",C44*D44)</f>
        <v/>
      </c>
      <c r="F44" s="12" t="n"/>
      <c r="G44" s="44">
        <f>IF(OR(C44="",F44=""),"",C44*F44)</f>
        <v/>
      </c>
      <c r="H44" s="44">
        <f>IF(OR(E44="",G44=""),"",E44-G44)</f>
        <v/>
      </c>
      <c r="I44" s="45">
        <f>IF(OR($E$116=0,E44=""),"",E44/$E$116)</f>
        <v/>
      </c>
      <c r="J44" s="16" t="n"/>
      <c r="K44" s="11">
        <f>IF(B44="","",IFERROR(VLOOKUP(IF(B44="Münze","M","N"),'Auswertung'!$A$16:$C$17,3,FALSE),""))</f>
        <v/>
      </c>
    </row>
    <row r="45" ht="19" customHeight="1">
      <c r="A45" s="17">
        <f>IF(OR(B45&lt;&gt;"",C45&lt;&gt;"",D45&lt;&gt;""),30,"")</f>
        <v/>
      </c>
      <c r="B45" s="12" t="n"/>
      <c r="C45" s="43" t="n"/>
      <c r="D45" s="12" t="n"/>
      <c r="E45" s="46">
        <f>IF(OR(C45="",D45=""),"",C45*D45)</f>
        <v/>
      </c>
      <c r="F45" s="12" t="n"/>
      <c r="G45" s="46">
        <f>IF(OR(C45="",F45=""),"",C45*F45)</f>
        <v/>
      </c>
      <c r="H45" s="46">
        <f>IF(OR(E45="",G45=""),"",E45-G45)</f>
        <v/>
      </c>
      <c r="I45" s="47">
        <f>IF(OR($E$116=0,E45=""),"",E45/$E$116)</f>
        <v/>
      </c>
      <c r="J45" s="16" t="n"/>
      <c r="K45" s="17">
        <f>IF(B45="","",IFERROR(VLOOKUP(IF(B45="Münze","M","N"),'Auswertung'!$A$16:$C$17,3,FALSE),""))</f>
        <v/>
      </c>
    </row>
    <row r="46" ht="19" customHeight="1">
      <c r="A46" s="11">
        <f>IF(OR(B46&lt;&gt;"",C46&lt;&gt;"",D46&lt;&gt;""),31,"")</f>
        <v/>
      </c>
      <c r="B46" s="12" t="n"/>
      <c r="C46" s="43" t="n"/>
      <c r="D46" s="12" t="n"/>
      <c r="E46" s="44">
        <f>IF(OR(C46="",D46=""),"",C46*D46)</f>
        <v/>
      </c>
      <c r="F46" s="12" t="n"/>
      <c r="G46" s="44">
        <f>IF(OR(C46="",F46=""),"",C46*F46)</f>
        <v/>
      </c>
      <c r="H46" s="44">
        <f>IF(OR(E46="",G46=""),"",E46-G46)</f>
        <v/>
      </c>
      <c r="I46" s="45">
        <f>IF(OR($E$116=0,E46=""),"",E46/$E$116)</f>
        <v/>
      </c>
      <c r="J46" s="16" t="n"/>
      <c r="K46" s="11">
        <f>IF(B46="","",IFERROR(VLOOKUP(IF(B46="Münze","M","N"),'Auswertung'!$A$16:$C$17,3,FALSE),""))</f>
        <v/>
      </c>
    </row>
    <row r="47" ht="19" customHeight="1">
      <c r="A47" s="17">
        <f>IF(OR(B47&lt;&gt;"",C47&lt;&gt;"",D47&lt;&gt;""),32,"")</f>
        <v/>
      </c>
      <c r="B47" s="12" t="n"/>
      <c r="C47" s="43" t="n"/>
      <c r="D47" s="12" t="n"/>
      <c r="E47" s="46">
        <f>IF(OR(C47="",D47=""),"",C47*D47)</f>
        <v/>
      </c>
      <c r="F47" s="12" t="n"/>
      <c r="G47" s="46">
        <f>IF(OR(C47="",F47=""),"",C47*F47)</f>
        <v/>
      </c>
      <c r="H47" s="46">
        <f>IF(OR(E47="",G47=""),"",E47-G47)</f>
        <v/>
      </c>
      <c r="I47" s="47">
        <f>IF(OR($E$116=0,E47=""),"",E47/$E$116)</f>
        <v/>
      </c>
      <c r="J47" s="16" t="n"/>
      <c r="K47" s="17">
        <f>IF(B47="","",IFERROR(VLOOKUP(IF(B47="Münze","M","N"),'Auswertung'!$A$16:$C$17,3,FALSE),""))</f>
        <v/>
      </c>
    </row>
    <row r="48" ht="19" customHeight="1">
      <c r="A48" s="11">
        <f>IF(OR(B48&lt;&gt;"",C48&lt;&gt;"",D48&lt;&gt;""),33,"")</f>
        <v/>
      </c>
      <c r="B48" s="12" t="n"/>
      <c r="C48" s="43" t="n"/>
      <c r="D48" s="12" t="n"/>
      <c r="E48" s="44">
        <f>IF(OR(C48="",D48=""),"",C48*D48)</f>
        <v/>
      </c>
      <c r="F48" s="12" t="n"/>
      <c r="G48" s="44">
        <f>IF(OR(C48="",F48=""),"",C48*F48)</f>
        <v/>
      </c>
      <c r="H48" s="44">
        <f>IF(OR(E48="",G48=""),"",E48-G48)</f>
        <v/>
      </c>
      <c r="I48" s="45">
        <f>IF(OR($E$116=0,E48=""),"",E48/$E$116)</f>
        <v/>
      </c>
      <c r="J48" s="16" t="n"/>
      <c r="K48" s="11">
        <f>IF(B48="","",IFERROR(VLOOKUP(IF(B48="Münze","M","N"),'Auswertung'!$A$16:$C$17,3,FALSE),""))</f>
        <v/>
      </c>
    </row>
    <row r="49" ht="19" customHeight="1">
      <c r="A49" s="17">
        <f>IF(OR(B49&lt;&gt;"",C49&lt;&gt;"",D49&lt;&gt;""),34,"")</f>
        <v/>
      </c>
      <c r="B49" s="12" t="n"/>
      <c r="C49" s="43" t="n"/>
      <c r="D49" s="12" t="n"/>
      <c r="E49" s="46">
        <f>IF(OR(C49="",D49=""),"",C49*D49)</f>
        <v/>
      </c>
      <c r="F49" s="12" t="n"/>
      <c r="G49" s="46">
        <f>IF(OR(C49="",F49=""),"",C49*F49)</f>
        <v/>
      </c>
      <c r="H49" s="46">
        <f>IF(OR(E49="",G49=""),"",E49-G49)</f>
        <v/>
      </c>
      <c r="I49" s="47">
        <f>IF(OR($E$116=0,E49=""),"",E49/$E$116)</f>
        <v/>
      </c>
      <c r="J49" s="16" t="n"/>
      <c r="K49" s="17">
        <f>IF(B49="","",IFERROR(VLOOKUP(IF(B49="Münze","M","N"),'Auswertung'!$A$16:$C$17,3,FALSE),""))</f>
        <v/>
      </c>
    </row>
    <row r="50" ht="19" customHeight="1">
      <c r="A50" s="11">
        <f>IF(OR(B50&lt;&gt;"",C50&lt;&gt;"",D50&lt;&gt;""),35,"")</f>
        <v/>
      </c>
      <c r="B50" s="12" t="n"/>
      <c r="C50" s="43" t="n"/>
      <c r="D50" s="12" t="n"/>
      <c r="E50" s="44">
        <f>IF(OR(C50="",D50=""),"",C50*D50)</f>
        <v/>
      </c>
      <c r="F50" s="12" t="n"/>
      <c r="G50" s="44">
        <f>IF(OR(C50="",F50=""),"",C50*F50)</f>
        <v/>
      </c>
      <c r="H50" s="44">
        <f>IF(OR(E50="",G50=""),"",E50-G50)</f>
        <v/>
      </c>
      <c r="I50" s="45">
        <f>IF(OR($E$116=0,E50=""),"",E50/$E$116)</f>
        <v/>
      </c>
      <c r="J50" s="16" t="n"/>
      <c r="K50" s="11">
        <f>IF(B50="","",IFERROR(VLOOKUP(IF(B50="Münze","M","N"),'Auswertung'!$A$16:$C$17,3,FALSE),""))</f>
        <v/>
      </c>
    </row>
    <row r="51" ht="19" customHeight="1">
      <c r="A51" s="17">
        <f>IF(OR(B51&lt;&gt;"",C51&lt;&gt;"",D51&lt;&gt;""),36,"")</f>
        <v/>
      </c>
      <c r="B51" s="12" t="n"/>
      <c r="C51" s="43" t="n"/>
      <c r="D51" s="12" t="n"/>
      <c r="E51" s="46">
        <f>IF(OR(C51="",D51=""),"",C51*D51)</f>
        <v/>
      </c>
      <c r="F51" s="12" t="n"/>
      <c r="G51" s="46">
        <f>IF(OR(C51="",F51=""),"",C51*F51)</f>
        <v/>
      </c>
      <c r="H51" s="46">
        <f>IF(OR(E51="",G51=""),"",E51-G51)</f>
        <v/>
      </c>
      <c r="I51" s="47">
        <f>IF(OR($E$116=0,E51=""),"",E51/$E$116)</f>
        <v/>
      </c>
      <c r="J51" s="16" t="n"/>
      <c r="K51" s="17">
        <f>IF(B51="","",IFERROR(VLOOKUP(IF(B51="Münze","M","N"),'Auswertung'!$A$16:$C$17,3,FALSE),""))</f>
        <v/>
      </c>
    </row>
    <row r="52" ht="19" customHeight="1">
      <c r="A52" s="11">
        <f>IF(OR(B52&lt;&gt;"",C52&lt;&gt;"",D52&lt;&gt;""),37,"")</f>
        <v/>
      </c>
      <c r="B52" s="12" t="n"/>
      <c r="C52" s="43" t="n"/>
      <c r="D52" s="12" t="n"/>
      <c r="E52" s="44">
        <f>IF(OR(C52="",D52=""),"",C52*D52)</f>
        <v/>
      </c>
      <c r="F52" s="12" t="n"/>
      <c r="G52" s="44">
        <f>IF(OR(C52="",F52=""),"",C52*F52)</f>
        <v/>
      </c>
      <c r="H52" s="44">
        <f>IF(OR(E52="",G52=""),"",E52-G52)</f>
        <v/>
      </c>
      <c r="I52" s="45">
        <f>IF(OR($E$116=0,E52=""),"",E52/$E$116)</f>
        <v/>
      </c>
      <c r="J52" s="16" t="n"/>
      <c r="K52" s="11">
        <f>IF(B52="","",IFERROR(VLOOKUP(IF(B52="Münze","M","N"),'Auswertung'!$A$16:$C$17,3,FALSE),""))</f>
        <v/>
      </c>
    </row>
    <row r="53" ht="19" customHeight="1">
      <c r="A53" s="17">
        <f>IF(OR(B53&lt;&gt;"",C53&lt;&gt;"",D53&lt;&gt;""),38,"")</f>
        <v/>
      </c>
      <c r="B53" s="12" t="n"/>
      <c r="C53" s="43" t="n"/>
      <c r="D53" s="12" t="n"/>
      <c r="E53" s="46">
        <f>IF(OR(C53="",D53=""),"",C53*D53)</f>
        <v/>
      </c>
      <c r="F53" s="12" t="n"/>
      <c r="G53" s="46">
        <f>IF(OR(C53="",F53=""),"",C53*F53)</f>
        <v/>
      </c>
      <c r="H53" s="46">
        <f>IF(OR(E53="",G53=""),"",E53-G53)</f>
        <v/>
      </c>
      <c r="I53" s="47">
        <f>IF(OR($E$116=0,E53=""),"",E53/$E$116)</f>
        <v/>
      </c>
      <c r="J53" s="16" t="n"/>
      <c r="K53" s="17">
        <f>IF(B53="","",IFERROR(VLOOKUP(IF(B53="Münze","M","N"),'Auswertung'!$A$16:$C$17,3,FALSE),""))</f>
        <v/>
      </c>
    </row>
    <row r="54" ht="19" customHeight="1">
      <c r="A54" s="11">
        <f>IF(OR(B54&lt;&gt;"",C54&lt;&gt;"",D54&lt;&gt;""),39,"")</f>
        <v/>
      </c>
      <c r="B54" s="12" t="n"/>
      <c r="C54" s="43" t="n"/>
      <c r="D54" s="12" t="n"/>
      <c r="E54" s="44">
        <f>IF(OR(C54="",D54=""),"",C54*D54)</f>
        <v/>
      </c>
      <c r="F54" s="12" t="n"/>
      <c r="G54" s="44">
        <f>IF(OR(C54="",F54=""),"",C54*F54)</f>
        <v/>
      </c>
      <c r="H54" s="44">
        <f>IF(OR(E54="",G54=""),"",E54-G54)</f>
        <v/>
      </c>
      <c r="I54" s="45">
        <f>IF(OR($E$116=0,E54=""),"",E54/$E$116)</f>
        <v/>
      </c>
      <c r="J54" s="16" t="n"/>
      <c r="K54" s="11">
        <f>IF(B54="","",IFERROR(VLOOKUP(IF(B54="Münze","M","N"),'Auswertung'!$A$16:$C$17,3,FALSE),""))</f>
        <v/>
      </c>
    </row>
    <row r="55" ht="19" customHeight="1">
      <c r="A55" s="17">
        <f>IF(OR(B55&lt;&gt;"",C55&lt;&gt;"",D55&lt;&gt;""),40,"")</f>
        <v/>
      </c>
      <c r="B55" s="12" t="n"/>
      <c r="C55" s="43" t="n"/>
      <c r="D55" s="12" t="n"/>
      <c r="E55" s="46">
        <f>IF(OR(C55="",D55=""),"",C55*D55)</f>
        <v/>
      </c>
      <c r="F55" s="12" t="n"/>
      <c r="G55" s="46">
        <f>IF(OR(C55="",F55=""),"",C55*F55)</f>
        <v/>
      </c>
      <c r="H55" s="46">
        <f>IF(OR(E55="",G55=""),"",E55-G55)</f>
        <v/>
      </c>
      <c r="I55" s="47">
        <f>IF(OR($E$116=0,E55=""),"",E55/$E$116)</f>
        <v/>
      </c>
      <c r="J55" s="16" t="n"/>
      <c r="K55" s="17">
        <f>IF(B55="","",IFERROR(VLOOKUP(IF(B55="Münze","M","N"),'Auswertung'!$A$16:$C$17,3,FALSE),""))</f>
        <v/>
      </c>
    </row>
    <row r="56" ht="19" customHeight="1">
      <c r="A56" s="11">
        <f>IF(OR(B56&lt;&gt;"",C56&lt;&gt;"",D56&lt;&gt;""),41,"")</f>
        <v/>
      </c>
      <c r="B56" s="12" t="n"/>
      <c r="C56" s="43" t="n"/>
      <c r="D56" s="12" t="n"/>
      <c r="E56" s="44">
        <f>IF(OR(C56="",D56=""),"",C56*D56)</f>
        <v/>
      </c>
      <c r="F56" s="12" t="n"/>
      <c r="G56" s="44">
        <f>IF(OR(C56="",F56=""),"",C56*F56)</f>
        <v/>
      </c>
      <c r="H56" s="44">
        <f>IF(OR(E56="",G56=""),"",E56-G56)</f>
        <v/>
      </c>
      <c r="I56" s="45">
        <f>IF(OR($E$116=0,E56=""),"",E56/$E$116)</f>
        <v/>
      </c>
      <c r="J56" s="16" t="n"/>
      <c r="K56" s="11">
        <f>IF(B56="","",IFERROR(VLOOKUP(IF(B56="Münze","M","N"),'Auswertung'!$A$16:$C$17,3,FALSE),""))</f>
        <v/>
      </c>
    </row>
    <row r="57" ht="19" customHeight="1">
      <c r="A57" s="17">
        <f>IF(OR(B57&lt;&gt;"",C57&lt;&gt;"",D57&lt;&gt;""),42,"")</f>
        <v/>
      </c>
      <c r="B57" s="12" t="n"/>
      <c r="C57" s="43" t="n"/>
      <c r="D57" s="12" t="n"/>
      <c r="E57" s="46">
        <f>IF(OR(C57="",D57=""),"",C57*D57)</f>
        <v/>
      </c>
      <c r="F57" s="12" t="n"/>
      <c r="G57" s="46">
        <f>IF(OR(C57="",F57=""),"",C57*F57)</f>
        <v/>
      </c>
      <c r="H57" s="46">
        <f>IF(OR(E57="",G57=""),"",E57-G57)</f>
        <v/>
      </c>
      <c r="I57" s="47">
        <f>IF(OR($E$116=0,E57=""),"",E57/$E$116)</f>
        <v/>
      </c>
      <c r="J57" s="16" t="n"/>
      <c r="K57" s="17">
        <f>IF(B57="","",IFERROR(VLOOKUP(IF(B57="Münze","M","N"),'Auswertung'!$A$16:$C$17,3,FALSE),""))</f>
        <v/>
      </c>
    </row>
    <row r="58" ht="19" customHeight="1">
      <c r="A58" s="11">
        <f>IF(OR(B58&lt;&gt;"",C58&lt;&gt;"",D58&lt;&gt;""),43,"")</f>
        <v/>
      </c>
      <c r="B58" s="12" t="n"/>
      <c r="C58" s="43" t="n"/>
      <c r="D58" s="12" t="n"/>
      <c r="E58" s="44">
        <f>IF(OR(C58="",D58=""),"",C58*D58)</f>
        <v/>
      </c>
      <c r="F58" s="12" t="n"/>
      <c r="G58" s="44">
        <f>IF(OR(C58="",F58=""),"",C58*F58)</f>
        <v/>
      </c>
      <c r="H58" s="44">
        <f>IF(OR(E58="",G58=""),"",E58-G58)</f>
        <v/>
      </c>
      <c r="I58" s="45">
        <f>IF(OR($E$116=0,E58=""),"",E58/$E$116)</f>
        <v/>
      </c>
      <c r="J58" s="16" t="n"/>
      <c r="K58" s="11">
        <f>IF(B58="","",IFERROR(VLOOKUP(IF(B58="Münze","M","N"),'Auswertung'!$A$16:$C$17,3,FALSE),""))</f>
        <v/>
      </c>
    </row>
    <row r="59" ht="19" customHeight="1">
      <c r="A59" s="17">
        <f>IF(OR(B59&lt;&gt;"",C59&lt;&gt;"",D59&lt;&gt;""),44,"")</f>
        <v/>
      </c>
      <c r="B59" s="12" t="n"/>
      <c r="C59" s="43" t="n"/>
      <c r="D59" s="12" t="n"/>
      <c r="E59" s="46">
        <f>IF(OR(C59="",D59=""),"",C59*D59)</f>
        <v/>
      </c>
      <c r="F59" s="12" t="n"/>
      <c r="G59" s="46">
        <f>IF(OR(C59="",F59=""),"",C59*F59)</f>
        <v/>
      </c>
      <c r="H59" s="46">
        <f>IF(OR(E59="",G59=""),"",E59-G59)</f>
        <v/>
      </c>
      <c r="I59" s="47">
        <f>IF(OR($E$116=0,E59=""),"",E59/$E$116)</f>
        <v/>
      </c>
      <c r="J59" s="16" t="n"/>
      <c r="K59" s="17">
        <f>IF(B59="","",IFERROR(VLOOKUP(IF(B59="Münze","M","N"),'Auswertung'!$A$16:$C$17,3,FALSE),""))</f>
        <v/>
      </c>
    </row>
    <row r="60" ht="19" customHeight="1">
      <c r="A60" s="11">
        <f>IF(OR(B60&lt;&gt;"",C60&lt;&gt;"",D60&lt;&gt;""),45,"")</f>
        <v/>
      </c>
      <c r="B60" s="12" t="n"/>
      <c r="C60" s="43" t="n"/>
      <c r="D60" s="12" t="n"/>
      <c r="E60" s="44">
        <f>IF(OR(C60="",D60=""),"",C60*D60)</f>
        <v/>
      </c>
      <c r="F60" s="12" t="n"/>
      <c r="G60" s="44">
        <f>IF(OR(C60="",F60=""),"",C60*F60)</f>
        <v/>
      </c>
      <c r="H60" s="44">
        <f>IF(OR(E60="",G60=""),"",E60-G60)</f>
        <v/>
      </c>
      <c r="I60" s="45">
        <f>IF(OR($E$116=0,E60=""),"",E60/$E$116)</f>
        <v/>
      </c>
      <c r="J60" s="16" t="n"/>
      <c r="K60" s="11">
        <f>IF(B60="","",IFERROR(VLOOKUP(IF(B60="Münze","M","N"),'Auswertung'!$A$16:$C$17,3,FALSE),""))</f>
        <v/>
      </c>
    </row>
    <row r="61" ht="19" customHeight="1">
      <c r="A61" s="17">
        <f>IF(OR(B61&lt;&gt;"",C61&lt;&gt;"",D61&lt;&gt;""),46,"")</f>
        <v/>
      </c>
      <c r="B61" s="12" t="n"/>
      <c r="C61" s="43" t="n"/>
      <c r="D61" s="12" t="n"/>
      <c r="E61" s="46">
        <f>IF(OR(C61="",D61=""),"",C61*D61)</f>
        <v/>
      </c>
      <c r="F61" s="12" t="n"/>
      <c r="G61" s="46">
        <f>IF(OR(C61="",F61=""),"",C61*F61)</f>
        <v/>
      </c>
      <c r="H61" s="46">
        <f>IF(OR(E61="",G61=""),"",E61-G61)</f>
        <v/>
      </c>
      <c r="I61" s="47">
        <f>IF(OR($E$116=0,E61=""),"",E61/$E$116)</f>
        <v/>
      </c>
      <c r="J61" s="16" t="n"/>
      <c r="K61" s="17">
        <f>IF(B61="","",IFERROR(VLOOKUP(IF(B61="Münze","M","N"),'Auswertung'!$A$16:$C$17,3,FALSE),""))</f>
        <v/>
      </c>
    </row>
    <row r="62" ht="19" customHeight="1">
      <c r="A62" s="11">
        <f>IF(OR(B62&lt;&gt;"",C62&lt;&gt;"",D62&lt;&gt;""),47,"")</f>
        <v/>
      </c>
      <c r="B62" s="12" t="n"/>
      <c r="C62" s="43" t="n"/>
      <c r="D62" s="12" t="n"/>
      <c r="E62" s="44">
        <f>IF(OR(C62="",D62=""),"",C62*D62)</f>
        <v/>
      </c>
      <c r="F62" s="12" t="n"/>
      <c r="G62" s="44">
        <f>IF(OR(C62="",F62=""),"",C62*F62)</f>
        <v/>
      </c>
      <c r="H62" s="44">
        <f>IF(OR(E62="",G62=""),"",E62-G62)</f>
        <v/>
      </c>
      <c r="I62" s="45">
        <f>IF(OR($E$116=0,E62=""),"",E62/$E$116)</f>
        <v/>
      </c>
      <c r="J62" s="16" t="n"/>
      <c r="K62" s="11">
        <f>IF(B62="","",IFERROR(VLOOKUP(IF(B62="Münze","M","N"),'Auswertung'!$A$16:$C$17,3,FALSE),""))</f>
        <v/>
      </c>
    </row>
    <row r="63" ht="19" customHeight="1">
      <c r="A63" s="17">
        <f>IF(OR(B63&lt;&gt;"",C63&lt;&gt;"",D63&lt;&gt;""),48,"")</f>
        <v/>
      </c>
      <c r="B63" s="12" t="n"/>
      <c r="C63" s="43" t="n"/>
      <c r="D63" s="12" t="n"/>
      <c r="E63" s="46">
        <f>IF(OR(C63="",D63=""),"",C63*D63)</f>
        <v/>
      </c>
      <c r="F63" s="12" t="n"/>
      <c r="G63" s="46">
        <f>IF(OR(C63="",F63=""),"",C63*F63)</f>
        <v/>
      </c>
      <c r="H63" s="46">
        <f>IF(OR(E63="",G63=""),"",E63-G63)</f>
        <v/>
      </c>
      <c r="I63" s="47">
        <f>IF(OR($E$116=0,E63=""),"",E63/$E$116)</f>
        <v/>
      </c>
      <c r="J63" s="16" t="n"/>
      <c r="K63" s="17">
        <f>IF(B63="","",IFERROR(VLOOKUP(IF(B63="Münze","M","N"),'Auswertung'!$A$16:$C$17,3,FALSE),""))</f>
        <v/>
      </c>
    </row>
    <row r="64" ht="19" customHeight="1">
      <c r="A64" s="11">
        <f>IF(OR(B64&lt;&gt;"",C64&lt;&gt;"",D64&lt;&gt;""),49,"")</f>
        <v/>
      </c>
      <c r="B64" s="12" t="n"/>
      <c r="C64" s="43" t="n"/>
      <c r="D64" s="12" t="n"/>
      <c r="E64" s="44">
        <f>IF(OR(C64="",D64=""),"",C64*D64)</f>
        <v/>
      </c>
      <c r="F64" s="12" t="n"/>
      <c r="G64" s="44">
        <f>IF(OR(C64="",F64=""),"",C64*F64)</f>
        <v/>
      </c>
      <c r="H64" s="44">
        <f>IF(OR(E64="",G64=""),"",E64-G64)</f>
        <v/>
      </c>
      <c r="I64" s="45">
        <f>IF(OR($E$116=0,E64=""),"",E64/$E$116)</f>
        <v/>
      </c>
      <c r="J64" s="16" t="n"/>
      <c r="K64" s="11">
        <f>IF(B64="","",IFERROR(VLOOKUP(IF(B64="Münze","M","N"),'Auswertung'!$A$16:$C$17,3,FALSE),""))</f>
        <v/>
      </c>
    </row>
    <row r="65" ht="19" customHeight="1">
      <c r="A65" s="17">
        <f>IF(OR(B65&lt;&gt;"",C65&lt;&gt;"",D65&lt;&gt;""),50,"")</f>
        <v/>
      </c>
      <c r="B65" s="12" t="n"/>
      <c r="C65" s="43" t="n"/>
      <c r="D65" s="12" t="n"/>
      <c r="E65" s="46">
        <f>IF(OR(C65="",D65=""),"",C65*D65)</f>
        <v/>
      </c>
      <c r="F65" s="12" t="n"/>
      <c r="G65" s="46">
        <f>IF(OR(C65="",F65=""),"",C65*F65)</f>
        <v/>
      </c>
      <c r="H65" s="46">
        <f>IF(OR(E65="",G65=""),"",E65-G65)</f>
        <v/>
      </c>
      <c r="I65" s="47">
        <f>IF(OR($E$116=0,E65=""),"",E65/$E$116)</f>
        <v/>
      </c>
      <c r="J65" s="16" t="n"/>
      <c r="K65" s="17">
        <f>IF(B65="","",IFERROR(VLOOKUP(IF(B65="Münze","M","N"),'Auswertung'!$A$16:$C$17,3,FALSE),""))</f>
        <v/>
      </c>
    </row>
    <row r="66" ht="19" customHeight="1">
      <c r="A66" s="11">
        <f>IF(OR(B66&lt;&gt;"",C66&lt;&gt;"",D66&lt;&gt;""),51,"")</f>
        <v/>
      </c>
      <c r="B66" s="12" t="n"/>
      <c r="C66" s="43" t="n"/>
      <c r="D66" s="12" t="n"/>
      <c r="E66" s="44">
        <f>IF(OR(C66="",D66=""),"",C66*D66)</f>
        <v/>
      </c>
      <c r="F66" s="12" t="n"/>
      <c r="G66" s="44">
        <f>IF(OR(C66="",F66=""),"",C66*F66)</f>
        <v/>
      </c>
      <c r="H66" s="44">
        <f>IF(OR(E66="",G66=""),"",E66-G66)</f>
        <v/>
      </c>
      <c r="I66" s="45">
        <f>IF(OR($E$116=0,E66=""),"",E66/$E$116)</f>
        <v/>
      </c>
      <c r="J66" s="16" t="n"/>
      <c r="K66" s="11">
        <f>IF(B66="","",IFERROR(VLOOKUP(IF(B66="Münze","M","N"),'Auswertung'!$A$16:$C$17,3,FALSE),""))</f>
        <v/>
      </c>
    </row>
    <row r="67" ht="19" customHeight="1">
      <c r="A67" s="17">
        <f>IF(OR(B67&lt;&gt;"",C67&lt;&gt;"",D67&lt;&gt;""),52,"")</f>
        <v/>
      </c>
      <c r="B67" s="12" t="n"/>
      <c r="C67" s="43" t="n"/>
      <c r="D67" s="12" t="n"/>
      <c r="E67" s="46">
        <f>IF(OR(C67="",D67=""),"",C67*D67)</f>
        <v/>
      </c>
      <c r="F67" s="12" t="n"/>
      <c r="G67" s="46">
        <f>IF(OR(C67="",F67=""),"",C67*F67)</f>
        <v/>
      </c>
      <c r="H67" s="46">
        <f>IF(OR(E67="",G67=""),"",E67-G67)</f>
        <v/>
      </c>
      <c r="I67" s="47">
        <f>IF(OR($E$116=0,E67=""),"",E67/$E$116)</f>
        <v/>
      </c>
      <c r="J67" s="16" t="n"/>
      <c r="K67" s="17">
        <f>IF(B67="","",IFERROR(VLOOKUP(IF(B67="Münze","M","N"),'Auswertung'!$A$16:$C$17,3,FALSE),""))</f>
        <v/>
      </c>
    </row>
    <row r="68" ht="19" customHeight="1">
      <c r="A68" s="11">
        <f>IF(OR(B68&lt;&gt;"",C68&lt;&gt;"",D68&lt;&gt;""),53,"")</f>
        <v/>
      </c>
      <c r="B68" s="12" t="n"/>
      <c r="C68" s="43" t="n"/>
      <c r="D68" s="12" t="n"/>
      <c r="E68" s="44">
        <f>IF(OR(C68="",D68=""),"",C68*D68)</f>
        <v/>
      </c>
      <c r="F68" s="12" t="n"/>
      <c r="G68" s="44">
        <f>IF(OR(C68="",F68=""),"",C68*F68)</f>
        <v/>
      </c>
      <c r="H68" s="44">
        <f>IF(OR(E68="",G68=""),"",E68-G68)</f>
        <v/>
      </c>
      <c r="I68" s="45">
        <f>IF(OR($E$116=0,E68=""),"",E68/$E$116)</f>
        <v/>
      </c>
      <c r="J68" s="16" t="n"/>
      <c r="K68" s="11">
        <f>IF(B68="","",IFERROR(VLOOKUP(IF(B68="Münze","M","N"),'Auswertung'!$A$16:$C$17,3,FALSE),""))</f>
        <v/>
      </c>
    </row>
    <row r="69" ht="19" customHeight="1">
      <c r="A69" s="17">
        <f>IF(OR(B69&lt;&gt;"",C69&lt;&gt;"",D69&lt;&gt;""),54,"")</f>
        <v/>
      </c>
      <c r="B69" s="12" t="n"/>
      <c r="C69" s="43" t="n"/>
      <c r="D69" s="12" t="n"/>
      <c r="E69" s="46">
        <f>IF(OR(C69="",D69=""),"",C69*D69)</f>
        <v/>
      </c>
      <c r="F69" s="12" t="n"/>
      <c r="G69" s="46">
        <f>IF(OR(C69="",F69=""),"",C69*F69)</f>
        <v/>
      </c>
      <c r="H69" s="46">
        <f>IF(OR(E69="",G69=""),"",E69-G69)</f>
        <v/>
      </c>
      <c r="I69" s="47">
        <f>IF(OR($E$116=0,E69=""),"",E69/$E$116)</f>
        <v/>
      </c>
      <c r="J69" s="16" t="n"/>
      <c r="K69" s="17">
        <f>IF(B69="","",IFERROR(VLOOKUP(IF(B69="Münze","M","N"),'Auswertung'!$A$16:$C$17,3,FALSE),""))</f>
        <v/>
      </c>
    </row>
    <row r="70" ht="19" customHeight="1">
      <c r="A70" s="11">
        <f>IF(OR(B70&lt;&gt;"",C70&lt;&gt;"",D70&lt;&gt;""),55,"")</f>
        <v/>
      </c>
      <c r="B70" s="12" t="n"/>
      <c r="C70" s="43" t="n"/>
      <c r="D70" s="12" t="n"/>
      <c r="E70" s="44">
        <f>IF(OR(C70="",D70=""),"",C70*D70)</f>
        <v/>
      </c>
      <c r="F70" s="12" t="n"/>
      <c r="G70" s="44">
        <f>IF(OR(C70="",F70=""),"",C70*F70)</f>
        <v/>
      </c>
      <c r="H70" s="44">
        <f>IF(OR(E70="",G70=""),"",E70-G70)</f>
        <v/>
      </c>
      <c r="I70" s="45">
        <f>IF(OR($E$116=0,E70=""),"",E70/$E$116)</f>
        <v/>
      </c>
      <c r="J70" s="16" t="n"/>
      <c r="K70" s="11">
        <f>IF(B70="","",IFERROR(VLOOKUP(IF(B70="Münze","M","N"),'Auswertung'!$A$16:$C$17,3,FALSE),""))</f>
        <v/>
      </c>
    </row>
    <row r="71" ht="19" customHeight="1">
      <c r="A71" s="17">
        <f>IF(OR(B71&lt;&gt;"",C71&lt;&gt;"",D71&lt;&gt;""),56,"")</f>
        <v/>
      </c>
      <c r="B71" s="12" t="n"/>
      <c r="C71" s="43" t="n"/>
      <c r="D71" s="12" t="n"/>
      <c r="E71" s="46">
        <f>IF(OR(C71="",D71=""),"",C71*D71)</f>
        <v/>
      </c>
      <c r="F71" s="12" t="n"/>
      <c r="G71" s="46">
        <f>IF(OR(C71="",F71=""),"",C71*F71)</f>
        <v/>
      </c>
      <c r="H71" s="46">
        <f>IF(OR(E71="",G71=""),"",E71-G71)</f>
        <v/>
      </c>
      <c r="I71" s="47">
        <f>IF(OR($E$116=0,E71=""),"",E71/$E$116)</f>
        <v/>
      </c>
      <c r="J71" s="16" t="n"/>
      <c r="K71" s="17">
        <f>IF(B71="","",IFERROR(VLOOKUP(IF(B71="Münze","M","N"),'Auswertung'!$A$16:$C$17,3,FALSE),""))</f>
        <v/>
      </c>
    </row>
    <row r="72" ht="19" customHeight="1">
      <c r="A72" s="11">
        <f>IF(OR(B72&lt;&gt;"",C72&lt;&gt;"",D72&lt;&gt;""),57,"")</f>
        <v/>
      </c>
      <c r="B72" s="12" t="n"/>
      <c r="C72" s="43" t="n"/>
      <c r="D72" s="12" t="n"/>
      <c r="E72" s="44">
        <f>IF(OR(C72="",D72=""),"",C72*D72)</f>
        <v/>
      </c>
      <c r="F72" s="12" t="n"/>
      <c r="G72" s="44">
        <f>IF(OR(C72="",F72=""),"",C72*F72)</f>
        <v/>
      </c>
      <c r="H72" s="44">
        <f>IF(OR(E72="",G72=""),"",E72-G72)</f>
        <v/>
      </c>
      <c r="I72" s="45">
        <f>IF(OR($E$116=0,E72=""),"",E72/$E$116)</f>
        <v/>
      </c>
      <c r="J72" s="16" t="n"/>
      <c r="K72" s="11">
        <f>IF(B72="","",IFERROR(VLOOKUP(IF(B72="Münze","M","N"),'Auswertung'!$A$16:$C$17,3,FALSE),""))</f>
        <v/>
      </c>
    </row>
    <row r="73" ht="19" customHeight="1">
      <c r="A73" s="17">
        <f>IF(OR(B73&lt;&gt;"",C73&lt;&gt;"",D73&lt;&gt;""),58,"")</f>
        <v/>
      </c>
      <c r="B73" s="12" t="n"/>
      <c r="C73" s="43" t="n"/>
      <c r="D73" s="12" t="n"/>
      <c r="E73" s="46">
        <f>IF(OR(C73="",D73=""),"",C73*D73)</f>
        <v/>
      </c>
      <c r="F73" s="12" t="n"/>
      <c r="G73" s="46">
        <f>IF(OR(C73="",F73=""),"",C73*F73)</f>
        <v/>
      </c>
      <c r="H73" s="46">
        <f>IF(OR(E73="",G73=""),"",E73-G73)</f>
        <v/>
      </c>
      <c r="I73" s="47">
        <f>IF(OR($E$116=0,E73=""),"",E73/$E$116)</f>
        <v/>
      </c>
      <c r="J73" s="16" t="n"/>
      <c r="K73" s="17">
        <f>IF(B73="","",IFERROR(VLOOKUP(IF(B73="Münze","M","N"),'Auswertung'!$A$16:$C$17,3,FALSE),""))</f>
        <v/>
      </c>
    </row>
    <row r="74" ht="19" customHeight="1">
      <c r="A74" s="11">
        <f>IF(OR(B74&lt;&gt;"",C74&lt;&gt;"",D74&lt;&gt;""),59,"")</f>
        <v/>
      </c>
      <c r="B74" s="12" t="n"/>
      <c r="C74" s="43" t="n"/>
      <c r="D74" s="12" t="n"/>
      <c r="E74" s="44">
        <f>IF(OR(C74="",D74=""),"",C74*D74)</f>
        <v/>
      </c>
      <c r="F74" s="12" t="n"/>
      <c r="G74" s="44">
        <f>IF(OR(C74="",F74=""),"",C74*F74)</f>
        <v/>
      </c>
      <c r="H74" s="44">
        <f>IF(OR(E74="",G74=""),"",E74-G74)</f>
        <v/>
      </c>
      <c r="I74" s="45">
        <f>IF(OR($E$116=0,E74=""),"",E74/$E$116)</f>
        <v/>
      </c>
      <c r="J74" s="16" t="n"/>
      <c r="K74" s="11">
        <f>IF(B74="","",IFERROR(VLOOKUP(IF(B74="Münze","M","N"),'Auswertung'!$A$16:$C$17,3,FALSE),""))</f>
        <v/>
      </c>
    </row>
    <row r="75" ht="19" customHeight="1">
      <c r="A75" s="17">
        <f>IF(OR(B75&lt;&gt;"",C75&lt;&gt;"",D75&lt;&gt;""),60,"")</f>
        <v/>
      </c>
      <c r="B75" s="12" t="n"/>
      <c r="C75" s="43" t="n"/>
      <c r="D75" s="12" t="n"/>
      <c r="E75" s="46">
        <f>IF(OR(C75="",D75=""),"",C75*D75)</f>
        <v/>
      </c>
      <c r="F75" s="12" t="n"/>
      <c r="G75" s="46">
        <f>IF(OR(C75="",F75=""),"",C75*F75)</f>
        <v/>
      </c>
      <c r="H75" s="46">
        <f>IF(OR(E75="",G75=""),"",E75-G75)</f>
        <v/>
      </c>
      <c r="I75" s="47">
        <f>IF(OR($E$116=0,E75=""),"",E75/$E$116)</f>
        <v/>
      </c>
      <c r="J75" s="16" t="n"/>
      <c r="K75" s="17">
        <f>IF(B75="","",IFERROR(VLOOKUP(IF(B75="Münze","M","N"),'Auswertung'!$A$16:$C$17,3,FALSE),""))</f>
        <v/>
      </c>
    </row>
    <row r="76" ht="19" customHeight="1">
      <c r="A76" s="11">
        <f>IF(OR(B76&lt;&gt;"",C76&lt;&gt;"",D76&lt;&gt;""),61,"")</f>
        <v/>
      </c>
      <c r="B76" s="12" t="n"/>
      <c r="C76" s="43" t="n"/>
      <c r="D76" s="12" t="n"/>
      <c r="E76" s="44">
        <f>IF(OR(C76="",D76=""),"",C76*D76)</f>
        <v/>
      </c>
      <c r="F76" s="12" t="n"/>
      <c r="G76" s="44">
        <f>IF(OR(C76="",F76=""),"",C76*F76)</f>
        <v/>
      </c>
      <c r="H76" s="44">
        <f>IF(OR(E76="",G76=""),"",E76-G76)</f>
        <v/>
      </c>
      <c r="I76" s="45">
        <f>IF(OR($E$116=0,E76=""),"",E76/$E$116)</f>
        <v/>
      </c>
      <c r="J76" s="16" t="n"/>
      <c r="K76" s="11">
        <f>IF(B76="","",IFERROR(VLOOKUP(IF(B76="Münze","M","N"),'Auswertung'!$A$16:$C$17,3,FALSE),""))</f>
        <v/>
      </c>
    </row>
    <row r="77" ht="19" customHeight="1">
      <c r="A77" s="17">
        <f>IF(OR(B77&lt;&gt;"",C77&lt;&gt;"",D77&lt;&gt;""),62,"")</f>
        <v/>
      </c>
      <c r="B77" s="12" t="n"/>
      <c r="C77" s="43" t="n"/>
      <c r="D77" s="12" t="n"/>
      <c r="E77" s="46">
        <f>IF(OR(C77="",D77=""),"",C77*D77)</f>
        <v/>
      </c>
      <c r="F77" s="12" t="n"/>
      <c r="G77" s="46">
        <f>IF(OR(C77="",F77=""),"",C77*F77)</f>
        <v/>
      </c>
      <c r="H77" s="46">
        <f>IF(OR(E77="",G77=""),"",E77-G77)</f>
        <v/>
      </c>
      <c r="I77" s="47">
        <f>IF(OR($E$116=0,E77=""),"",E77/$E$116)</f>
        <v/>
      </c>
      <c r="J77" s="16" t="n"/>
      <c r="K77" s="17">
        <f>IF(B77="","",IFERROR(VLOOKUP(IF(B77="Münze","M","N"),'Auswertung'!$A$16:$C$17,3,FALSE),""))</f>
        <v/>
      </c>
    </row>
    <row r="78" ht="19" customHeight="1">
      <c r="A78" s="11">
        <f>IF(OR(B78&lt;&gt;"",C78&lt;&gt;"",D78&lt;&gt;""),63,"")</f>
        <v/>
      </c>
      <c r="B78" s="12" t="n"/>
      <c r="C78" s="43" t="n"/>
      <c r="D78" s="12" t="n"/>
      <c r="E78" s="44">
        <f>IF(OR(C78="",D78=""),"",C78*D78)</f>
        <v/>
      </c>
      <c r="F78" s="12" t="n"/>
      <c r="G78" s="44">
        <f>IF(OR(C78="",F78=""),"",C78*F78)</f>
        <v/>
      </c>
      <c r="H78" s="44">
        <f>IF(OR(E78="",G78=""),"",E78-G78)</f>
        <v/>
      </c>
      <c r="I78" s="45">
        <f>IF(OR($E$116=0,E78=""),"",E78/$E$116)</f>
        <v/>
      </c>
      <c r="J78" s="16" t="n"/>
      <c r="K78" s="11">
        <f>IF(B78="","",IFERROR(VLOOKUP(IF(B78="Münze","M","N"),'Auswertung'!$A$16:$C$17,3,FALSE),""))</f>
        <v/>
      </c>
    </row>
    <row r="79" ht="19" customHeight="1">
      <c r="A79" s="17">
        <f>IF(OR(B79&lt;&gt;"",C79&lt;&gt;"",D79&lt;&gt;""),64,"")</f>
        <v/>
      </c>
      <c r="B79" s="12" t="n"/>
      <c r="C79" s="43" t="n"/>
      <c r="D79" s="12" t="n"/>
      <c r="E79" s="46">
        <f>IF(OR(C79="",D79=""),"",C79*D79)</f>
        <v/>
      </c>
      <c r="F79" s="12" t="n"/>
      <c r="G79" s="46">
        <f>IF(OR(C79="",F79=""),"",C79*F79)</f>
        <v/>
      </c>
      <c r="H79" s="46">
        <f>IF(OR(E79="",G79=""),"",E79-G79)</f>
        <v/>
      </c>
      <c r="I79" s="47">
        <f>IF(OR($E$116=0,E79=""),"",E79/$E$116)</f>
        <v/>
      </c>
      <c r="J79" s="16" t="n"/>
      <c r="K79" s="17">
        <f>IF(B79="","",IFERROR(VLOOKUP(IF(B79="Münze","M","N"),'Auswertung'!$A$16:$C$17,3,FALSE),""))</f>
        <v/>
      </c>
    </row>
    <row r="80" ht="19" customHeight="1">
      <c r="A80" s="11">
        <f>IF(OR(B80&lt;&gt;"",C80&lt;&gt;"",D80&lt;&gt;""),65,"")</f>
        <v/>
      </c>
      <c r="B80" s="12" t="n"/>
      <c r="C80" s="43" t="n"/>
      <c r="D80" s="12" t="n"/>
      <c r="E80" s="44">
        <f>IF(OR(C80="",D80=""),"",C80*D80)</f>
        <v/>
      </c>
      <c r="F80" s="12" t="n"/>
      <c r="G80" s="44">
        <f>IF(OR(C80="",F80=""),"",C80*F80)</f>
        <v/>
      </c>
      <c r="H80" s="44">
        <f>IF(OR(E80="",G80=""),"",E80-G80)</f>
        <v/>
      </c>
      <c r="I80" s="45">
        <f>IF(OR($E$116=0,E80=""),"",E80/$E$116)</f>
        <v/>
      </c>
      <c r="J80" s="16" t="n"/>
      <c r="K80" s="11">
        <f>IF(B80="","",IFERROR(VLOOKUP(IF(B80="Münze","M","N"),'Auswertung'!$A$16:$C$17,3,FALSE),""))</f>
        <v/>
      </c>
    </row>
    <row r="81" ht="19" customHeight="1">
      <c r="A81" s="17">
        <f>IF(OR(B81&lt;&gt;"",C81&lt;&gt;"",D81&lt;&gt;""),66,"")</f>
        <v/>
      </c>
      <c r="B81" s="12" t="n"/>
      <c r="C81" s="43" t="n"/>
      <c r="D81" s="12" t="n"/>
      <c r="E81" s="46">
        <f>IF(OR(C81="",D81=""),"",C81*D81)</f>
        <v/>
      </c>
      <c r="F81" s="12" t="n"/>
      <c r="G81" s="46">
        <f>IF(OR(C81="",F81=""),"",C81*F81)</f>
        <v/>
      </c>
      <c r="H81" s="46">
        <f>IF(OR(E81="",G81=""),"",E81-G81)</f>
        <v/>
      </c>
      <c r="I81" s="47">
        <f>IF(OR($E$116=0,E81=""),"",E81/$E$116)</f>
        <v/>
      </c>
      <c r="J81" s="16" t="n"/>
      <c r="K81" s="17">
        <f>IF(B81="","",IFERROR(VLOOKUP(IF(B81="Münze","M","N"),'Auswertung'!$A$16:$C$17,3,FALSE),""))</f>
        <v/>
      </c>
    </row>
    <row r="82" ht="19" customHeight="1">
      <c r="A82" s="11">
        <f>IF(OR(B82&lt;&gt;"",C82&lt;&gt;"",D82&lt;&gt;""),67,"")</f>
        <v/>
      </c>
      <c r="B82" s="12" t="n"/>
      <c r="C82" s="43" t="n"/>
      <c r="D82" s="12" t="n"/>
      <c r="E82" s="44">
        <f>IF(OR(C82="",D82=""),"",C82*D82)</f>
        <v/>
      </c>
      <c r="F82" s="12" t="n"/>
      <c r="G82" s="44">
        <f>IF(OR(C82="",F82=""),"",C82*F82)</f>
        <v/>
      </c>
      <c r="H82" s="44">
        <f>IF(OR(E82="",G82=""),"",E82-G82)</f>
        <v/>
      </c>
      <c r="I82" s="45">
        <f>IF(OR($E$116=0,E82=""),"",E82/$E$116)</f>
        <v/>
      </c>
      <c r="J82" s="16" t="n"/>
      <c r="K82" s="11">
        <f>IF(B82="","",IFERROR(VLOOKUP(IF(B82="Münze","M","N"),'Auswertung'!$A$16:$C$17,3,FALSE),""))</f>
        <v/>
      </c>
    </row>
    <row r="83" ht="19" customHeight="1">
      <c r="A83" s="17">
        <f>IF(OR(B83&lt;&gt;"",C83&lt;&gt;"",D83&lt;&gt;""),68,"")</f>
        <v/>
      </c>
      <c r="B83" s="12" t="n"/>
      <c r="C83" s="43" t="n"/>
      <c r="D83" s="12" t="n"/>
      <c r="E83" s="46">
        <f>IF(OR(C83="",D83=""),"",C83*D83)</f>
        <v/>
      </c>
      <c r="F83" s="12" t="n"/>
      <c r="G83" s="46">
        <f>IF(OR(C83="",F83=""),"",C83*F83)</f>
        <v/>
      </c>
      <c r="H83" s="46">
        <f>IF(OR(E83="",G83=""),"",E83-G83)</f>
        <v/>
      </c>
      <c r="I83" s="47">
        <f>IF(OR($E$116=0,E83=""),"",E83/$E$116)</f>
        <v/>
      </c>
      <c r="J83" s="16" t="n"/>
      <c r="K83" s="17">
        <f>IF(B83="","",IFERROR(VLOOKUP(IF(B83="Münze","M","N"),'Auswertung'!$A$16:$C$17,3,FALSE),""))</f>
        <v/>
      </c>
    </row>
    <row r="84" ht="19" customHeight="1">
      <c r="A84" s="11">
        <f>IF(OR(B84&lt;&gt;"",C84&lt;&gt;"",D84&lt;&gt;""),69,"")</f>
        <v/>
      </c>
      <c r="B84" s="12" t="n"/>
      <c r="C84" s="43" t="n"/>
      <c r="D84" s="12" t="n"/>
      <c r="E84" s="44">
        <f>IF(OR(C84="",D84=""),"",C84*D84)</f>
        <v/>
      </c>
      <c r="F84" s="12" t="n"/>
      <c r="G84" s="44">
        <f>IF(OR(C84="",F84=""),"",C84*F84)</f>
        <v/>
      </c>
      <c r="H84" s="44">
        <f>IF(OR(E84="",G84=""),"",E84-G84)</f>
        <v/>
      </c>
      <c r="I84" s="45">
        <f>IF(OR($E$116=0,E84=""),"",E84/$E$116)</f>
        <v/>
      </c>
      <c r="J84" s="16" t="n"/>
      <c r="K84" s="11">
        <f>IF(B84="","",IFERROR(VLOOKUP(IF(B84="Münze","M","N"),'Auswertung'!$A$16:$C$17,3,FALSE),""))</f>
        <v/>
      </c>
    </row>
    <row r="85" ht="19" customHeight="1">
      <c r="A85" s="17">
        <f>IF(OR(B85&lt;&gt;"",C85&lt;&gt;"",D85&lt;&gt;""),70,"")</f>
        <v/>
      </c>
      <c r="B85" s="12" t="n"/>
      <c r="C85" s="43" t="n"/>
      <c r="D85" s="12" t="n"/>
      <c r="E85" s="46">
        <f>IF(OR(C85="",D85=""),"",C85*D85)</f>
        <v/>
      </c>
      <c r="F85" s="12" t="n"/>
      <c r="G85" s="46">
        <f>IF(OR(C85="",F85=""),"",C85*F85)</f>
        <v/>
      </c>
      <c r="H85" s="46">
        <f>IF(OR(E85="",G85=""),"",E85-G85)</f>
        <v/>
      </c>
      <c r="I85" s="47">
        <f>IF(OR($E$116=0,E85=""),"",E85/$E$116)</f>
        <v/>
      </c>
      <c r="J85" s="16" t="n"/>
      <c r="K85" s="17">
        <f>IF(B85="","",IFERROR(VLOOKUP(IF(B85="Münze","M","N"),'Auswertung'!$A$16:$C$17,3,FALSE),""))</f>
        <v/>
      </c>
    </row>
    <row r="86" ht="19" customHeight="1">
      <c r="A86" s="11">
        <f>IF(OR(B86&lt;&gt;"",C86&lt;&gt;"",D86&lt;&gt;""),71,"")</f>
        <v/>
      </c>
      <c r="B86" s="12" t="n"/>
      <c r="C86" s="43" t="n"/>
      <c r="D86" s="12" t="n"/>
      <c r="E86" s="44">
        <f>IF(OR(C86="",D86=""),"",C86*D86)</f>
        <v/>
      </c>
      <c r="F86" s="12" t="n"/>
      <c r="G86" s="44">
        <f>IF(OR(C86="",F86=""),"",C86*F86)</f>
        <v/>
      </c>
      <c r="H86" s="44">
        <f>IF(OR(E86="",G86=""),"",E86-G86)</f>
        <v/>
      </c>
      <c r="I86" s="45">
        <f>IF(OR($E$116=0,E86=""),"",E86/$E$116)</f>
        <v/>
      </c>
      <c r="J86" s="16" t="n"/>
      <c r="K86" s="11">
        <f>IF(B86="","",IFERROR(VLOOKUP(IF(B86="Münze","M","N"),'Auswertung'!$A$16:$C$17,3,FALSE),""))</f>
        <v/>
      </c>
    </row>
    <row r="87" ht="19" customHeight="1">
      <c r="A87" s="17">
        <f>IF(OR(B87&lt;&gt;"",C87&lt;&gt;"",D87&lt;&gt;""),72,"")</f>
        <v/>
      </c>
      <c r="B87" s="12" t="n"/>
      <c r="C87" s="43" t="n"/>
      <c r="D87" s="12" t="n"/>
      <c r="E87" s="46">
        <f>IF(OR(C87="",D87=""),"",C87*D87)</f>
        <v/>
      </c>
      <c r="F87" s="12" t="n"/>
      <c r="G87" s="46">
        <f>IF(OR(C87="",F87=""),"",C87*F87)</f>
        <v/>
      </c>
      <c r="H87" s="46">
        <f>IF(OR(E87="",G87=""),"",E87-G87)</f>
        <v/>
      </c>
      <c r="I87" s="47">
        <f>IF(OR($E$116=0,E87=""),"",E87/$E$116)</f>
        <v/>
      </c>
      <c r="J87" s="16" t="n"/>
      <c r="K87" s="17">
        <f>IF(B87="","",IFERROR(VLOOKUP(IF(B87="Münze","M","N"),'Auswertung'!$A$16:$C$17,3,FALSE),""))</f>
        <v/>
      </c>
    </row>
    <row r="88" ht="19" customHeight="1">
      <c r="A88" s="11">
        <f>IF(OR(B88&lt;&gt;"",C88&lt;&gt;"",D88&lt;&gt;""),73,"")</f>
        <v/>
      </c>
      <c r="B88" s="12" t="n"/>
      <c r="C88" s="43" t="n"/>
      <c r="D88" s="12" t="n"/>
      <c r="E88" s="44">
        <f>IF(OR(C88="",D88=""),"",C88*D88)</f>
        <v/>
      </c>
      <c r="F88" s="12" t="n"/>
      <c r="G88" s="44">
        <f>IF(OR(C88="",F88=""),"",C88*F88)</f>
        <v/>
      </c>
      <c r="H88" s="44">
        <f>IF(OR(E88="",G88=""),"",E88-G88)</f>
        <v/>
      </c>
      <c r="I88" s="45">
        <f>IF(OR($E$116=0,E88=""),"",E88/$E$116)</f>
        <v/>
      </c>
      <c r="J88" s="16" t="n"/>
      <c r="K88" s="11">
        <f>IF(B88="","",IFERROR(VLOOKUP(IF(B88="Münze","M","N"),'Auswertung'!$A$16:$C$17,3,FALSE),""))</f>
        <v/>
      </c>
    </row>
    <row r="89" ht="19" customHeight="1">
      <c r="A89" s="17">
        <f>IF(OR(B89&lt;&gt;"",C89&lt;&gt;"",D89&lt;&gt;""),74,"")</f>
        <v/>
      </c>
      <c r="B89" s="12" t="n"/>
      <c r="C89" s="43" t="n"/>
      <c r="D89" s="12" t="n"/>
      <c r="E89" s="46">
        <f>IF(OR(C89="",D89=""),"",C89*D89)</f>
        <v/>
      </c>
      <c r="F89" s="12" t="n"/>
      <c r="G89" s="46">
        <f>IF(OR(C89="",F89=""),"",C89*F89)</f>
        <v/>
      </c>
      <c r="H89" s="46">
        <f>IF(OR(E89="",G89=""),"",E89-G89)</f>
        <v/>
      </c>
      <c r="I89" s="47">
        <f>IF(OR($E$116=0,E89=""),"",E89/$E$116)</f>
        <v/>
      </c>
      <c r="J89" s="16" t="n"/>
      <c r="K89" s="17">
        <f>IF(B89="","",IFERROR(VLOOKUP(IF(B89="Münze","M","N"),'Auswertung'!$A$16:$C$17,3,FALSE),""))</f>
        <v/>
      </c>
    </row>
    <row r="90" ht="19" customHeight="1">
      <c r="A90" s="11">
        <f>IF(OR(B90&lt;&gt;"",C90&lt;&gt;"",D90&lt;&gt;""),75,"")</f>
        <v/>
      </c>
      <c r="B90" s="12" t="n"/>
      <c r="C90" s="43" t="n"/>
      <c r="D90" s="12" t="n"/>
      <c r="E90" s="44">
        <f>IF(OR(C90="",D90=""),"",C90*D90)</f>
        <v/>
      </c>
      <c r="F90" s="12" t="n"/>
      <c r="G90" s="44">
        <f>IF(OR(C90="",F90=""),"",C90*F90)</f>
        <v/>
      </c>
      <c r="H90" s="44">
        <f>IF(OR(E90="",G90=""),"",E90-G90)</f>
        <v/>
      </c>
      <c r="I90" s="45">
        <f>IF(OR($E$116=0,E90=""),"",E90/$E$116)</f>
        <v/>
      </c>
      <c r="J90" s="16" t="n"/>
      <c r="K90" s="11">
        <f>IF(B90="","",IFERROR(VLOOKUP(IF(B90="Münze","M","N"),'Auswertung'!$A$16:$C$17,3,FALSE),""))</f>
        <v/>
      </c>
    </row>
    <row r="91" ht="19" customHeight="1">
      <c r="A91" s="17">
        <f>IF(OR(B91&lt;&gt;"",C91&lt;&gt;"",D91&lt;&gt;""),76,"")</f>
        <v/>
      </c>
      <c r="B91" s="12" t="n"/>
      <c r="C91" s="43" t="n"/>
      <c r="D91" s="12" t="n"/>
      <c r="E91" s="46">
        <f>IF(OR(C91="",D91=""),"",C91*D91)</f>
        <v/>
      </c>
      <c r="F91" s="12" t="n"/>
      <c r="G91" s="46">
        <f>IF(OR(C91="",F91=""),"",C91*F91)</f>
        <v/>
      </c>
      <c r="H91" s="46">
        <f>IF(OR(E91="",G91=""),"",E91-G91)</f>
        <v/>
      </c>
      <c r="I91" s="47">
        <f>IF(OR($E$116=0,E91=""),"",E91/$E$116)</f>
        <v/>
      </c>
      <c r="J91" s="16" t="n"/>
      <c r="K91" s="17">
        <f>IF(B91="","",IFERROR(VLOOKUP(IF(B91="Münze","M","N"),'Auswertung'!$A$16:$C$17,3,FALSE),""))</f>
        <v/>
      </c>
    </row>
    <row r="92" ht="19" customHeight="1">
      <c r="A92" s="11">
        <f>IF(OR(B92&lt;&gt;"",C92&lt;&gt;"",D92&lt;&gt;""),77,"")</f>
        <v/>
      </c>
      <c r="B92" s="12" t="n"/>
      <c r="C92" s="43" t="n"/>
      <c r="D92" s="12" t="n"/>
      <c r="E92" s="44">
        <f>IF(OR(C92="",D92=""),"",C92*D92)</f>
        <v/>
      </c>
      <c r="F92" s="12" t="n"/>
      <c r="G92" s="44">
        <f>IF(OR(C92="",F92=""),"",C92*F92)</f>
        <v/>
      </c>
      <c r="H92" s="44">
        <f>IF(OR(E92="",G92=""),"",E92-G92)</f>
        <v/>
      </c>
      <c r="I92" s="45">
        <f>IF(OR($E$116=0,E92=""),"",E92/$E$116)</f>
        <v/>
      </c>
      <c r="J92" s="16" t="n"/>
      <c r="K92" s="11">
        <f>IF(B92="","",IFERROR(VLOOKUP(IF(B92="Münze","M","N"),'Auswertung'!$A$16:$C$17,3,FALSE),""))</f>
        <v/>
      </c>
    </row>
    <row r="93" ht="19" customHeight="1">
      <c r="A93" s="17">
        <f>IF(OR(B93&lt;&gt;"",C93&lt;&gt;"",D93&lt;&gt;""),78,"")</f>
        <v/>
      </c>
      <c r="B93" s="12" t="n"/>
      <c r="C93" s="43" t="n"/>
      <c r="D93" s="12" t="n"/>
      <c r="E93" s="46">
        <f>IF(OR(C93="",D93=""),"",C93*D93)</f>
        <v/>
      </c>
      <c r="F93" s="12" t="n"/>
      <c r="G93" s="46">
        <f>IF(OR(C93="",F93=""),"",C93*F93)</f>
        <v/>
      </c>
      <c r="H93" s="46">
        <f>IF(OR(E93="",G93=""),"",E93-G93)</f>
        <v/>
      </c>
      <c r="I93" s="47">
        <f>IF(OR($E$116=0,E93=""),"",E93/$E$116)</f>
        <v/>
      </c>
      <c r="J93" s="16" t="n"/>
      <c r="K93" s="17">
        <f>IF(B93="","",IFERROR(VLOOKUP(IF(B93="Münze","M","N"),'Auswertung'!$A$16:$C$17,3,FALSE),""))</f>
        <v/>
      </c>
    </row>
    <row r="94" ht="19" customHeight="1">
      <c r="A94" s="11">
        <f>IF(OR(B94&lt;&gt;"",C94&lt;&gt;"",D94&lt;&gt;""),79,"")</f>
        <v/>
      </c>
      <c r="B94" s="12" t="n"/>
      <c r="C94" s="43" t="n"/>
      <c r="D94" s="12" t="n"/>
      <c r="E94" s="44">
        <f>IF(OR(C94="",D94=""),"",C94*D94)</f>
        <v/>
      </c>
      <c r="F94" s="12" t="n"/>
      <c r="G94" s="44">
        <f>IF(OR(C94="",F94=""),"",C94*F94)</f>
        <v/>
      </c>
      <c r="H94" s="44">
        <f>IF(OR(E94="",G94=""),"",E94-G94)</f>
        <v/>
      </c>
      <c r="I94" s="45">
        <f>IF(OR($E$116=0,E94=""),"",E94/$E$116)</f>
        <v/>
      </c>
      <c r="J94" s="16" t="n"/>
      <c r="K94" s="11">
        <f>IF(B94="","",IFERROR(VLOOKUP(IF(B94="Münze","M","N"),'Auswertung'!$A$16:$C$17,3,FALSE),""))</f>
        <v/>
      </c>
    </row>
    <row r="95" ht="19" customHeight="1">
      <c r="A95" s="17">
        <f>IF(OR(B95&lt;&gt;"",C95&lt;&gt;"",D95&lt;&gt;""),80,"")</f>
        <v/>
      </c>
      <c r="B95" s="12" t="n"/>
      <c r="C95" s="43" t="n"/>
      <c r="D95" s="12" t="n"/>
      <c r="E95" s="46">
        <f>IF(OR(C95="",D95=""),"",C95*D95)</f>
        <v/>
      </c>
      <c r="F95" s="12" t="n"/>
      <c r="G95" s="46">
        <f>IF(OR(C95="",F95=""),"",C95*F95)</f>
        <v/>
      </c>
      <c r="H95" s="46">
        <f>IF(OR(E95="",G95=""),"",E95-G95)</f>
        <v/>
      </c>
      <c r="I95" s="47">
        <f>IF(OR($E$116=0,E95=""),"",E95/$E$116)</f>
        <v/>
      </c>
      <c r="J95" s="16" t="n"/>
      <c r="K95" s="17">
        <f>IF(B95="","",IFERROR(VLOOKUP(IF(B95="Münze","M","N"),'Auswertung'!$A$16:$C$17,3,FALSE),""))</f>
        <v/>
      </c>
    </row>
    <row r="96" ht="19" customHeight="1">
      <c r="A96" s="11">
        <f>IF(OR(B96&lt;&gt;"",C96&lt;&gt;"",D96&lt;&gt;""),81,"")</f>
        <v/>
      </c>
      <c r="B96" s="12" t="n"/>
      <c r="C96" s="43" t="n"/>
      <c r="D96" s="12" t="n"/>
      <c r="E96" s="44">
        <f>IF(OR(C96="",D96=""),"",C96*D96)</f>
        <v/>
      </c>
      <c r="F96" s="12" t="n"/>
      <c r="G96" s="44">
        <f>IF(OR(C96="",F96=""),"",C96*F96)</f>
        <v/>
      </c>
      <c r="H96" s="44">
        <f>IF(OR(E96="",G96=""),"",E96-G96)</f>
        <v/>
      </c>
      <c r="I96" s="45">
        <f>IF(OR($E$116=0,E96=""),"",E96/$E$116)</f>
        <v/>
      </c>
      <c r="J96" s="16" t="n"/>
      <c r="K96" s="11">
        <f>IF(B96="","",IFERROR(VLOOKUP(IF(B96="Münze","M","N"),'Auswertung'!$A$16:$C$17,3,FALSE),""))</f>
        <v/>
      </c>
    </row>
    <row r="97" ht="19" customHeight="1">
      <c r="A97" s="17">
        <f>IF(OR(B97&lt;&gt;"",C97&lt;&gt;"",D97&lt;&gt;""),82,"")</f>
        <v/>
      </c>
      <c r="B97" s="12" t="n"/>
      <c r="C97" s="43" t="n"/>
      <c r="D97" s="12" t="n"/>
      <c r="E97" s="46">
        <f>IF(OR(C97="",D97=""),"",C97*D97)</f>
        <v/>
      </c>
      <c r="F97" s="12" t="n"/>
      <c r="G97" s="46">
        <f>IF(OR(C97="",F97=""),"",C97*F97)</f>
        <v/>
      </c>
      <c r="H97" s="46">
        <f>IF(OR(E97="",G97=""),"",E97-G97)</f>
        <v/>
      </c>
      <c r="I97" s="47">
        <f>IF(OR($E$116=0,E97=""),"",E97/$E$116)</f>
        <v/>
      </c>
      <c r="J97" s="16" t="n"/>
      <c r="K97" s="17">
        <f>IF(B97="","",IFERROR(VLOOKUP(IF(B97="Münze","M","N"),'Auswertung'!$A$16:$C$17,3,FALSE),""))</f>
        <v/>
      </c>
    </row>
    <row r="98" ht="19" customHeight="1">
      <c r="A98" s="11">
        <f>IF(OR(B98&lt;&gt;"",C98&lt;&gt;"",D98&lt;&gt;""),83,"")</f>
        <v/>
      </c>
      <c r="B98" s="12" t="n"/>
      <c r="C98" s="43" t="n"/>
      <c r="D98" s="12" t="n"/>
      <c r="E98" s="44">
        <f>IF(OR(C98="",D98=""),"",C98*D98)</f>
        <v/>
      </c>
      <c r="F98" s="12" t="n"/>
      <c r="G98" s="44">
        <f>IF(OR(C98="",F98=""),"",C98*F98)</f>
        <v/>
      </c>
      <c r="H98" s="44">
        <f>IF(OR(E98="",G98=""),"",E98-G98)</f>
        <v/>
      </c>
      <c r="I98" s="45">
        <f>IF(OR($E$116=0,E98=""),"",E98/$E$116)</f>
        <v/>
      </c>
      <c r="J98" s="16" t="n"/>
      <c r="K98" s="11">
        <f>IF(B98="","",IFERROR(VLOOKUP(IF(B98="Münze","M","N"),'Auswertung'!$A$16:$C$17,3,FALSE),""))</f>
        <v/>
      </c>
    </row>
    <row r="99" ht="19" customHeight="1">
      <c r="A99" s="17">
        <f>IF(OR(B99&lt;&gt;"",C99&lt;&gt;"",D99&lt;&gt;""),84,"")</f>
        <v/>
      </c>
      <c r="B99" s="12" t="n"/>
      <c r="C99" s="43" t="n"/>
      <c r="D99" s="12" t="n"/>
      <c r="E99" s="46">
        <f>IF(OR(C99="",D99=""),"",C99*D99)</f>
        <v/>
      </c>
      <c r="F99" s="12" t="n"/>
      <c r="G99" s="46">
        <f>IF(OR(C99="",F99=""),"",C99*F99)</f>
        <v/>
      </c>
      <c r="H99" s="46">
        <f>IF(OR(E99="",G99=""),"",E99-G99)</f>
        <v/>
      </c>
      <c r="I99" s="47">
        <f>IF(OR($E$116=0,E99=""),"",E99/$E$116)</f>
        <v/>
      </c>
      <c r="J99" s="16" t="n"/>
      <c r="K99" s="17">
        <f>IF(B99="","",IFERROR(VLOOKUP(IF(B99="Münze","M","N"),'Auswertung'!$A$16:$C$17,3,FALSE),""))</f>
        <v/>
      </c>
    </row>
    <row r="100" ht="19" customHeight="1">
      <c r="A100" s="11">
        <f>IF(OR(B100&lt;&gt;"",C100&lt;&gt;"",D100&lt;&gt;""),85,"")</f>
        <v/>
      </c>
      <c r="B100" s="12" t="n"/>
      <c r="C100" s="43" t="n"/>
      <c r="D100" s="12" t="n"/>
      <c r="E100" s="44">
        <f>IF(OR(C100="",D100=""),"",C100*D100)</f>
        <v/>
      </c>
      <c r="F100" s="12" t="n"/>
      <c r="G100" s="44">
        <f>IF(OR(C100="",F100=""),"",C100*F100)</f>
        <v/>
      </c>
      <c r="H100" s="44">
        <f>IF(OR(E100="",G100=""),"",E100-G100)</f>
        <v/>
      </c>
      <c r="I100" s="45">
        <f>IF(OR($E$116=0,E100=""),"",E100/$E$116)</f>
        <v/>
      </c>
      <c r="J100" s="16" t="n"/>
      <c r="K100" s="11">
        <f>IF(B100="","",IFERROR(VLOOKUP(IF(B100="Münze","M","N"),'Auswertung'!$A$16:$C$17,3,FALSE),""))</f>
        <v/>
      </c>
    </row>
    <row r="101" ht="19" customHeight="1">
      <c r="A101" s="17">
        <f>IF(OR(B101&lt;&gt;"",C101&lt;&gt;"",D101&lt;&gt;""),86,"")</f>
        <v/>
      </c>
      <c r="B101" s="12" t="n"/>
      <c r="C101" s="43" t="n"/>
      <c r="D101" s="12" t="n"/>
      <c r="E101" s="46">
        <f>IF(OR(C101="",D101=""),"",C101*D101)</f>
        <v/>
      </c>
      <c r="F101" s="12" t="n"/>
      <c r="G101" s="46">
        <f>IF(OR(C101="",F101=""),"",C101*F101)</f>
        <v/>
      </c>
      <c r="H101" s="46">
        <f>IF(OR(E101="",G101=""),"",E101-G101)</f>
        <v/>
      </c>
      <c r="I101" s="47">
        <f>IF(OR($E$116=0,E101=""),"",E101/$E$116)</f>
        <v/>
      </c>
      <c r="J101" s="16" t="n"/>
      <c r="K101" s="17">
        <f>IF(B101="","",IFERROR(VLOOKUP(IF(B101="Münze","M","N"),'Auswertung'!$A$16:$C$17,3,FALSE),""))</f>
        <v/>
      </c>
    </row>
    <row r="102" ht="19" customHeight="1">
      <c r="A102" s="11">
        <f>IF(OR(B102&lt;&gt;"",C102&lt;&gt;"",D102&lt;&gt;""),87,"")</f>
        <v/>
      </c>
      <c r="B102" s="12" t="n"/>
      <c r="C102" s="43" t="n"/>
      <c r="D102" s="12" t="n"/>
      <c r="E102" s="44">
        <f>IF(OR(C102="",D102=""),"",C102*D102)</f>
        <v/>
      </c>
      <c r="F102" s="12" t="n"/>
      <c r="G102" s="44">
        <f>IF(OR(C102="",F102=""),"",C102*F102)</f>
        <v/>
      </c>
      <c r="H102" s="44">
        <f>IF(OR(E102="",G102=""),"",E102-G102)</f>
        <v/>
      </c>
      <c r="I102" s="45">
        <f>IF(OR($E$116=0,E102=""),"",E102/$E$116)</f>
        <v/>
      </c>
      <c r="J102" s="16" t="n"/>
      <c r="K102" s="11">
        <f>IF(B102="","",IFERROR(VLOOKUP(IF(B102="Münze","M","N"),'Auswertung'!$A$16:$C$17,3,FALSE),""))</f>
        <v/>
      </c>
    </row>
    <row r="103" ht="19" customHeight="1">
      <c r="A103" s="17">
        <f>IF(OR(B103&lt;&gt;"",C103&lt;&gt;"",D103&lt;&gt;""),88,"")</f>
        <v/>
      </c>
      <c r="B103" s="12" t="n"/>
      <c r="C103" s="43" t="n"/>
      <c r="D103" s="12" t="n"/>
      <c r="E103" s="46">
        <f>IF(OR(C103="",D103=""),"",C103*D103)</f>
        <v/>
      </c>
      <c r="F103" s="12" t="n"/>
      <c r="G103" s="46">
        <f>IF(OR(C103="",F103=""),"",C103*F103)</f>
        <v/>
      </c>
      <c r="H103" s="46">
        <f>IF(OR(E103="",G103=""),"",E103-G103)</f>
        <v/>
      </c>
      <c r="I103" s="47">
        <f>IF(OR($E$116=0,E103=""),"",E103/$E$116)</f>
        <v/>
      </c>
      <c r="J103" s="16" t="n"/>
      <c r="K103" s="17">
        <f>IF(B103="","",IFERROR(VLOOKUP(IF(B103="Münze","M","N"),'Auswertung'!$A$16:$C$17,3,FALSE),""))</f>
        <v/>
      </c>
    </row>
    <row r="104" ht="19" customHeight="1">
      <c r="A104" s="11">
        <f>IF(OR(B104&lt;&gt;"",C104&lt;&gt;"",D104&lt;&gt;""),89,"")</f>
        <v/>
      </c>
      <c r="B104" s="12" t="n"/>
      <c r="C104" s="43" t="n"/>
      <c r="D104" s="12" t="n"/>
      <c r="E104" s="44">
        <f>IF(OR(C104="",D104=""),"",C104*D104)</f>
        <v/>
      </c>
      <c r="F104" s="12" t="n"/>
      <c r="G104" s="44">
        <f>IF(OR(C104="",F104=""),"",C104*F104)</f>
        <v/>
      </c>
      <c r="H104" s="44">
        <f>IF(OR(E104="",G104=""),"",E104-G104)</f>
        <v/>
      </c>
      <c r="I104" s="45">
        <f>IF(OR($E$116=0,E104=""),"",E104/$E$116)</f>
        <v/>
      </c>
      <c r="J104" s="16" t="n"/>
      <c r="K104" s="11">
        <f>IF(B104="","",IFERROR(VLOOKUP(IF(B104="Münze","M","N"),'Auswertung'!$A$16:$C$17,3,FALSE),""))</f>
        <v/>
      </c>
    </row>
    <row r="105" ht="19" customHeight="1">
      <c r="A105" s="17">
        <f>IF(OR(B105&lt;&gt;"",C105&lt;&gt;"",D105&lt;&gt;""),90,"")</f>
        <v/>
      </c>
      <c r="B105" s="12" t="n"/>
      <c r="C105" s="43" t="n"/>
      <c r="D105" s="12" t="n"/>
      <c r="E105" s="46">
        <f>IF(OR(C105="",D105=""),"",C105*D105)</f>
        <v/>
      </c>
      <c r="F105" s="12" t="n"/>
      <c r="G105" s="46">
        <f>IF(OR(C105="",F105=""),"",C105*F105)</f>
        <v/>
      </c>
      <c r="H105" s="46">
        <f>IF(OR(E105="",G105=""),"",E105-G105)</f>
        <v/>
      </c>
      <c r="I105" s="47">
        <f>IF(OR($E$116=0,E105=""),"",E105/$E$116)</f>
        <v/>
      </c>
      <c r="J105" s="16" t="n"/>
      <c r="K105" s="17">
        <f>IF(B105="","",IFERROR(VLOOKUP(IF(B105="Münze","M","N"),'Auswertung'!$A$16:$C$17,3,FALSE),""))</f>
        <v/>
      </c>
    </row>
    <row r="106" ht="19" customHeight="1">
      <c r="A106" s="11">
        <f>IF(OR(B106&lt;&gt;"",C106&lt;&gt;"",D106&lt;&gt;""),91,"")</f>
        <v/>
      </c>
      <c r="B106" s="12" t="n"/>
      <c r="C106" s="43" t="n"/>
      <c r="D106" s="12" t="n"/>
      <c r="E106" s="44">
        <f>IF(OR(C106="",D106=""),"",C106*D106)</f>
        <v/>
      </c>
      <c r="F106" s="12" t="n"/>
      <c r="G106" s="44">
        <f>IF(OR(C106="",F106=""),"",C106*F106)</f>
        <v/>
      </c>
      <c r="H106" s="44">
        <f>IF(OR(E106="",G106=""),"",E106-G106)</f>
        <v/>
      </c>
      <c r="I106" s="45">
        <f>IF(OR($E$116=0,E106=""),"",E106/$E$116)</f>
        <v/>
      </c>
      <c r="J106" s="16" t="n"/>
      <c r="K106" s="11">
        <f>IF(B106="","",IFERROR(VLOOKUP(IF(B106="Münze","M","N"),'Auswertung'!$A$16:$C$17,3,FALSE),""))</f>
        <v/>
      </c>
    </row>
    <row r="107" ht="19" customHeight="1">
      <c r="A107" s="17">
        <f>IF(OR(B107&lt;&gt;"",C107&lt;&gt;"",D107&lt;&gt;""),92,"")</f>
        <v/>
      </c>
      <c r="B107" s="12" t="n"/>
      <c r="C107" s="43" t="n"/>
      <c r="D107" s="12" t="n"/>
      <c r="E107" s="46">
        <f>IF(OR(C107="",D107=""),"",C107*D107)</f>
        <v/>
      </c>
      <c r="F107" s="12" t="n"/>
      <c r="G107" s="46">
        <f>IF(OR(C107="",F107=""),"",C107*F107)</f>
        <v/>
      </c>
      <c r="H107" s="46">
        <f>IF(OR(E107="",G107=""),"",E107-G107)</f>
        <v/>
      </c>
      <c r="I107" s="47">
        <f>IF(OR($E$116=0,E107=""),"",E107/$E$116)</f>
        <v/>
      </c>
      <c r="J107" s="16" t="n"/>
      <c r="K107" s="17">
        <f>IF(B107="","",IFERROR(VLOOKUP(IF(B107="Münze","M","N"),'Auswertung'!$A$16:$C$17,3,FALSE),""))</f>
        <v/>
      </c>
    </row>
    <row r="108" ht="19" customHeight="1">
      <c r="A108" s="11">
        <f>IF(OR(B108&lt;&gt;"",C108&lt;&gt;"",D108&lt;&gt;""),93,"")</f>
        <v/>
      </c>
      <c r="B108" s="12" t="n"/>
      <c r="C108" s="43" t="n"/>
      <c r="D108" s="12" t="n"/>
      <c r="E108" s="44">
        <f>IF(OR(C108="",D108=""),"",C108*D108)</f>
        <v/>
      </c>
      <c r="F108" s="12" t="n"/>
      <c r="G108" s="44">
        <f>IF(OR(C108="",F108=""),"",C108*F108)</f>
        <v/>
      </c>
      <c r="H108" s="44">
        <f>IF(OR(E108="",G108=""),"",E108-G108)</f>
        <v/>
      </c>
      <c r="I108" s="45">
        <f>IF(OR($E$116=0,E108=""),"",E108/$E$116)</f>
        <v/>
      </c>
      <c r="J108" s="16" t="n"/>
      <c r="K108" s="11">
        <f>IF(B108="","",IFERROR(VLOOKUP(IF(B108="Münze","M","N"),'Auswertung'!$A$16:$C$17,3,FALSE),""))</f>
        <v/>
      </c>
    </row>
    <row r="109" ht="19" customHeight="1">
      <c r="A109" s="17">
        <f>IF(OR(B109&lt;&gt;"",C109&lt;&gt;"",D109&lt;&gt;""),94,"")</f>
        <v/>
      </c>
      <c r="B109" s="12" t="n"/>
      <c r="C109" s="43" t="n"/>
      <c r="D109" s="12" t="n"/>
      <c r="E109" s="46">
        <f>IF(OR(C109="",D109=""),"",C109*D109)</f>
        <v/>
      </c>
      <c r="F109" s="12" t="n"/>
      <c r="G109" s="46">
        <f>IF(OR(C109="",F109=""),"",C109*F109)</f>
        <v/>
      </c>
      <c r="H109" s="46">
        <f>IF(OR(E109="",G109=""),"",E109-G109)</f>
        <v/>
      </c>
      <c r="I109" s="47">
        <f>IF(OR($E$116=0,E109=""),"",E109/$E$116)</f>
        <v/>
      </c>
      <c r="J109" s="16" t="n"/>
      <c r="K109" s="17">
        <f>IF(B109="","",IFERROR(VLOOKUP(IF(B109="Münze","M","N"),'Auswertung'!$A$16:$C$17,3,FALSE),""))</f>
        <v/>
      </c>
    </row>
    <row r="110" ht="19" customHeight="1">
      <c r="A110" s="11">
        <f>IF(OR(B110&lt;&gt;"",C110&lt;&gt;"",D110&lt;&gt;""),95,"")</f>
        <v/>
      </c>
      <c r="B110" s="12" t="n"/>
      <c r="C110" s="43" t="n"/>
      <c r="D110" s="12" t="n"/>
      <c r="E110" s="44">
        <f>IF(OR(C110="",D110=""),"",C110*D110)</f>
        <v/>
      </c>
      <c r="F110" s="12" t="n"/>
      <c r="G110" s="44">
        <f>IF(OR(C110="",F110=""),"",C110*F110)</f>
        <v/>
      </c>
      <c r="H110" s="44">
        <f>IF(OR(E110="",G110=""),"",E110-G110)</f>
        <v/>
      </c>
      <c r="I110" s="45">
        <f>IF(OR($E$116=0,E110=""),"",E110/$E$116)</f>
        <v/>
      </c>
      <c r="J110" s="16" t="n"/>
      <c r="K110" s="11">
        <f>IF(B110="","",IFERROR(VLOOKUP(IF(B110="Münze","M","N"),'Auswertung'!$A$16:$C$17,3,FALSE),""))</f>
        <v/>
      </c>
    </row>
    <row r="111" ht="19" customHeight="1">
      <c r="A111" s="17">
        <f>IF(OR(B111&lt;&gt;"",C111&lt;&gt;"",D111&lt;&gt;""),96,"")</f>
        <v/>
      </c>
      <c r="B111" s="12" t="n"/>
      <c r="C111" s="43" t="n"/>
      <c r="D111" s="12" t="n"/>
      <c r="E111" s="46">
        <f>IF(OR(C111="",D111=""),"",C111*D111)</f>
        <v/>
      </c>
      <c r="F111" s="12" t="n"/>
      <c r="G111" s="46">
        <f>IF(OR(C111="",F111=""),"",C111*F111)</f>
        <v/>
      </c>
      <c r="H111" s="46">
        <f>IF(OR(E111="",G111=""),"",E111-G111)</f>
        <v/>
      </c>
      <c r="I111" s="47">
        <f>IF(OR($E$116=0,E111=""),"",E111/$E$116)</f>
        <v/>
      </c>
      <c r="J111" s="16" t="n"/>
      <c r="K111" s="17">
        <f>IF(B111="","",IFERROR(VLOOKUP(IF(B111="Münze","M","N"),'Auswertung'!$A$16:$C$17,3,FALSE),""))</f>
        <v/>
      </c>
    </row>
    <row r="112" ht="19" customHeight="1">
      <c r="A112" s="11">
        <f>IF(OR(B112&lt;&gt;"",C112&lt;&gt;"",D112&lt;&gt;""),97,"")</f>
        <v/>
      </c>
      <c r="B112" s="12" t="n"/>
      <c r="C112" s="43" t="n"/>
      <c r="D112" s="12" t="n"/>
      <c r="E112" s="44">
        <f>IF(OR(C112="",D112=""),"",C112*D112)</f>
        <v/>
      </c>
      <c r="F112" s="12" t="n"/>
      <c r="G112" s="44">
        <f>IF(OR(C112="",F112=""),"",C112*F112)</f>
        <v/>
      </c>
      <c r="H112" s="44">
        <f>IF(OR(E112="",G112=""),"",E112-G112)</f>
        <v/>
      </c>
      <c r="I112" s="45">
        <f>IF(OR($E$116=0,E112=""),"",E112/$E$116)</f>
        <v/>
      </c>
      <c r="J112" s="16" t="n"/>
      <c r="K112" s="11">
        <f>IF(B112="","",IFERROR(VLOOKUP(IF(B112="Münze","M","N"),'Auswertung'!$A$16:$C$17,3,FALSE),""))</f>
        <v/>
      </c>
    </row>
    <row r="113" ht="19" customHeight="1">
      <c r="A113" s="17">
        <f>IF(OR(B113&lt;&gt;"",C113&lt;&gt;"",D113&lt;&gt;""),98,"")</f>
        <v/>
      </c>
      <c r="B113" s="12" t="n"/>
      <c r="C113" s="43" t="n"/>
      <c r="D113" s="12" t="n"/>
      <c r="E113" s="46">
        <f>IF(OR(C113="",D113=""),"",C113*D113)</f>
        <v/>
      </c>
      <c r="F113" s="12" t="n"/>
      <c r="G113" s="46">
        <f>IF(OR(C113="",F113=""),"",C113*F113)</f>
        <v/>
      </c>
      <c r="H113" s="46">
        <f>IF(OR(E113="",G113=""),"",E113-G113)</f>
        <v/>
      </c>
      <c r="I113" s="47">
        <f>IF(OR($E$116=0,E113=""),"",E113/$E$116)</f>
        <v/>
      </c>
      <c r="J113" s="16" t="n"/>
      <c r="K113" s="17">
        <f>IF(B113="","",IFERROR(VLOOKUP(IF(B113="Münze","M","N"),'Auswertung'!$A$16:$C$17,3,FALSE),""))</f>
        <v/>
      </c>
    </row>
    <row r="114" ht="19" customHeight="1">
      <c r="A114" s="11">
        <f>IF(OR(B114&lt;&gt;"",C114&lt;&gt;"",D114&lt;&gt;""),99,"")</f>
        <v/>
      </c>
      <c r="B114" s="12" t="n"/>
      <c r="C114" s="43" t="n"/>
      <c r="D114" s="12" t="n"/>
      <c r="E114" s="44">
        <f>IF(OR(C114="",D114=""),"",C114*D114)</f>
        <v/>
      </c>
      <c r="F114" s="12" t="n"/>
      <c r="G114" s="44">
        <f>IF(OR(C114="",F114=""),"",C114*F114)</f>
        <v/>
      </c>
      <c r="H114" s="44">
        <f>IF(OR(E114="",G114=""),"",E114-G114)</f>
        <v/>
      </c>
      <c r="I114" s="45">
        <f>IF(OR($E$116=0,E114=""),"",E114/$E$116)</f>
        <v/>
      </c>
      <c r="J114" s="16" t="n"/>
      <c r="K114" s="11">
        <f>IF(B114="","",IFERROR(VLOOKUP(IF(B114="Münze","M","N"),'Auswertung'!$A$16:$C$17,3,FALSE),""))</f>
        <v/>
      </c>
    </row>
    <row r="115" ht="19" customHeight="1">
      <c r="A115" s="17">
        <f>IF(OR(B115&lt;&gt;"",C115&lt;&gt;"",D115&lt;&gt;""),100,"")</f>
        <v/>
      </c>
      <c r="B115" s="12" t="n"/>
      <c r="C115" s="43" t="n"/>
      <c r="D115" s="12" t="n"/>
      <c r="E115" s="46">
        <f>IF(OR(C115="",D115=""),"",C115*D115)</f>
        <v/>
      </c>
      <c r="F115" s="12" t="n"/>
      <c r="G115" s="46">
        <f>IF(OR(C115="",F115=""),"",C115*F115)</f>
        <v/>
      </c>
      <c r="H115" s="46">
        <f>IF(OR(E115="",G115=""),"",E115-G115)</f>
        <v/>
      </c>
      <c r="I115" s="47">
        <f>IF(OR($E$116=0,E115=""),"",E115/$E$116)</f>
        <v/>
      </c>
      <c r="J115" s="16" t="n"/>
      <c r="K115" s="17">
        <f>IF(B115="","",IFERROR(VLOOKUP(IF(B115="Münze","M","N"),'Auswertung'!$A$16:$C$17,3,FALSE),""))</f>
        <v/>
      </c>
    </row>
    <row r="116">
      <c r="A116" s="10" t="inlineStr">
        <is>
          <t>Gesamt</t>
        </is>
      </c>
      <c r="B116" s="10" t="n"/>
      <c r="C116" s="10" t="n"/>
      <c r="D116" s="10">
        <f>COUNT(A16:A115)</f>
        <v/>
      </c>
      <c r="E116" s="48">
        <f>SUM(E16:E115)</f>
        <v/>
      </c>
      <c r="F116" s="10">
        <f>SUM(F16:F115)</f>
        <v/>
      </c>
      <c r="G116" s="48">
        <f>SUM(G16:G115)</f>
        <v/>
      </c>
      <c r="H116" s="48">
        <f>SUM(H16:H115)</f>
        <v/>
      </c>
      <c r="I116" s="49">
        <f>SUM(I16:I115)</f>
        <v/>
      </c>
      <c r="J116" s="10" t="n"/>
      <c r="K116" s="10" t="n"/>
    </row>
    <row r="117"/>
    <row r="118">
      <c r="A118" s="9" t="inlineStr">
        <is>
          <t>Durchschnittlicher Zeilenbetrag</t>
        </is>
      </c>
      <c r="B118" s="22" t="n"/>
      <c r="C118" s="22" t="n"/>
      <c r="D118" s="22" t="n"/>
      <c r="E118" s="42">
        <f>IFERROR(AVERAGE(E16:E115),0)</f>
        <v/>
      </c>
      <c r="F118" s="22" t="n"/>
      <c r="G118" s="9" t="inlineStr">
        <is>
          <t>Positionen mit Differenz</t>
        </is>
      </c>
      <c r="H118" s="9">
        <f>COUNTIFS(H16:H115,"&lt;&gt;0",H16:H115,"&lt;&gt;")</f>
        <v/>
      </c>
    </row>
    <row r="119">
      <c r="A119" s="23" t="inlineStr">
        <is>
          <t>Kassenstatus</t>
        </is>
      </c>
      <c r="B119" s="24" t="n"/>
      <c r="C119" s="24" t="n"/>
      <c r="D119" s="24" t="n"/>
      <c r="E119" s="23">
        <f>IF(H116=0,"Ausgeglichen",IF(H116&gt;0,"Überschuss","Fehlbetrag"))</f>
        <v/>
      </c>
      <c r="F119" s="24" t="n"/>
      <c r="G119" s="23" t="inlineStr">
        <is>
          <t>Differenz zum erwarteten Soll-Bestand</t>
        </is>
      </c>
      <c r="H119" s="50">
        <f>IF(OR(B8="",E116=""),"",E116-B8)</f>
        <v/>
      </c>
    </row>
  </sheetData>
  <autoFilter ref="A15:K115"/>
  <mergeCells count="1">
    <mergeCell ref="A1:K1"/>
  </mergeCells>
  <conditionalFormatting sqref="I8">
    <cfRule type="expression" priority="1" dxfId="0">
      <formula>I8="Ausgeglichen"</formula>
    </cfRule>
    <cfRule type="expression" priority="2" dxfId="1">
      <formula>I8="Fehlbetrag"</formula>
    </cfRule>
    <cfRule type="expression" priority="3" dxfId="2">
      <formula>I8="Überschuss"</formula>
    </cfRule>
  </conditionalFormatting>
  <conditionalFormatting sqref="E119">
    <cfRule type="expression" priority="4" dxfId="0">
      <formula>E119="Ausgeglichen"</formula>
    </cfRule>
    <cfRule type="expression" priority="5" dxfId="1">
      <formula>E119="Fehlbetrag"</formula>
    </cfRule>
    <cfRule type="expression" priority="6" dxfId="2">
      <formula>E119="Überschuss"</formula>
    </cfRule>
  </conditionalFormatting>
  <conditionalFormatting sqref="H16:H116">
    <cfRule type="expression" priority="7" dxfId="1">
      <formula>H16&lt;0</formula>
    </cfRule>
    <cfRule type="expression" priority="8" dxfId="0">
      <formula>H16&gt;0</formula>
    </cfRule>
  </conditionalFormatting>
  <dataValidations count="4">
    <dataValidation sqref="B16:B115" showErrorMessage="1" showInputMessage="1" allowBlank="1" type="list">
      <formula1>"Münze,Banknote"</formula1>
    </dataValidation>
    <dataValidation sqref="C16:C115" showErrorMessage="1" showInputMessage="1" allowBlank="1" type="list">
      <formula1>"0.05,0.10,0.20,0.50,1.00,2.00,5.00,10.00,20.00,50.00,100.00,200.00,500.00,1000.00"</formula1>
    </dataValidation>
    <dataValidation sqref="D16:D115" showErrorMessage="1" showInputMessage="1" allowBlank="1" type="whole" operator="between">
      <formula1>0</formula1>
      <formula2>100000</formula2>
    </dataValidation>
    <dataValidation sqref="F16:F115" showErrorMessage="1" showInputMessage="1" allowBlank="1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4" customWidth="1" min="4" max="4"/>
    <col width="16" customWidth="1" min="5" max="5"/>
    <col width="22" customWidth="1" min="6" max="6"/>
    <col width="18" customWidth="1" min="7" max="7"/>
    <col width="4" customWidth="1" min="8" max="8"/>
    <col width="17" customWidth="1" min="9" max="9"/>
    <col width="20" customWidth="1" min="10" max="10"/>
  </cols>
  <sheetData>
    <row r="1" ht="26" customHeight="1">
      <c r="A1" s="1" t="inlineStr">
        <is>
          <t>Auswertung Kassenzählprotokoll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8" t="n"/>
    </row>
    <row r="2">
      <c r="A2" s="2" t="inlineStr">
        <is>
          <t>Kennzahlen für die Kassenverantwortlichen</t>
        </is>
      </c>
    </row>
    <row r="3">
      <c r="A3" s="10" t="inlineStr">
        <is>
          <t>Kennzahl</t>
        </is>
      </c>
      <c r="B3" s="10" t="inlineStr">
        <is>
          <t>Wert</t>
        </is>
      </c>
    </row>
    <row r="4">
      <c r="A4" s="9" t="inlineStr">
        <is>
          <t>Ist-Bestand</t>
        </is>
      </c>
      <c r="B4" s="51">
        <f>'Kassenzählung'!$E$116</f>
        <v/>
      </c>
    </row>
    <row r="5">
      <c r="A5" s="23" t="inlineStr">
        <is>
          <t>Soll-Bestand</t>
        </is>
      </c>
      <c r="B5" s="52">
        <f>'Kassenzählung'!$G$116</f>
        <v/>
      </c>
    </row>
    <row r="6">
      <c r="A6" s="9" t="inlineStr">
        <is>
          <t>Differenz in CHF</t>
        </is>
      </c>
      <c r="B6" s="51">
        <f>'Kassenzählung'!$H$116</f>
        <v/>
      </c>
    </row>
    <row r="7">
      <c r="A7" s="23" t="inlineStr">
        <is>
          <t>Differenz in Prozent</t>
        </is>
      </c>
      <c r="B7" s="53">
        <f>IF(B5=0,0,B6/B5)</f>
        <v/>
      </c>
    </row>
    <row r="8">
      <c r="A8" s="9" t="inlineStr">
        <is>
          <t>Anzahl Positionen mit Abweichung</t>
        </is>
      </c>
      <c r="B8" s="29">
        <f>COUNTIFS('Kassenzählung'!$H$16:$H$115,"&lt;&gt;0",'Kassenzählung'!$H$16:$H$115,"&lt;&gt;")</f>
        <v/>
      </c>
    </row>
    <row r="9">
      <c r="A9" s="23" t="inlineStr">
        <is>
          <t>Durchschnittlicher Betrag pro Nominalwert</t>
        </is>
      </c>
      <c r="B9" s="52">
        <f>IFERROR(AVERAGE('Kassenzählung'!$E$16:$E$115),0)</f>
        <v/>
      </c>
    </row>
    <row r="10">
      <c r="A10" s="9" t="inlineStr">
        <is>
          <t>Status des Kassensturzes</t>
        </is>
      </c>
      <c r="B10" s="30">
        <f>IF(AND(B6&gt;-0.01,B6&lt;0.01),"Ausgeglichen","Kontrolle erforderlich")</f>
        <v/>
      </c>
    </row>
    <row r="11">
      <c r="A11" s="23" t="inlineStr">
        <is>
          <t>Grösste positive Abweichung</t>
        </is>
      </c>
      <c r="B11" s="52">
        <f>MAX('Kassenzählung'!$H$16:$H$115)</f>
        <v/>
      </c>
    </row>
    <row r="12">
      <c r="A12" s="9" t="inlineStr">
        <is>
          <t>Grösste negative Abweichung</t>
        </is>
      </c>
      <c r="B12" s="51">
        <f>MIN('Kassenzählung'!$H$16:$H$115)</f>
        <v/>
      </c>
    </row>
    <row r="13">
      <c r="A13" s="23" t="inlineStr">
        <is>
          <t>Soll gemäss Kassenbericht</t>
        </is>
      </c>
      <c r="B13" s="52">
        <f>'Kassenzählung'!$B$8</f>
        <v/>
      </c>
    </row>
    <row r="14">
      <c r="A14" s="9" t="inlineStr">
        <is>
          <t>Positionen Münzen</t>
        </is>
      </c>
      <c r="B14" s="29">
        <f>COUNTIF('Kassenzählung'!$B$16:$B$115,"Münze")</f>
        <v/>
      </c>
    </row>
    <row r="15">
      <c r="A15" s="10" t="inlineStr">
        <is>
          <t>Code</t>
        </is>
      </c>
      <c r="B15" s="10" t="inlineStr">
        <is>
          <t>Geldart</t>
        </is>
      </c>
      <c r="C15" s="10" t="inlineStr">
        <is>
          <t>Kategorie</t>
        </is>
      </c>
      <c r="E15" s="10" t="inlineStr">
        <is>
          <t>Nominalwert</t>
        </is>
      </c>
      <c r="F15" s="10" t="inlineStr">
        <is>
          <t>Gezählter Betrag CHF</t>
        </is>
      </c>
      <c r="G15" s="10" t="inlineStr">
        <is>
          <t>Differenz CHF</t>
        </is>
      </c>
      <c r="I15" s="10" t="inlineStr">
        <is>
          <t>Geldart</t>
        </is>
      </c>
      <c r="J15" s="10" t="inlineStr">
        <is>
          <t>Ist-Bestand CHF</t>
        </is>
      </c>
    </row>
    <row r="16">
      <c r="A16" s="11" t="inlineStr">
        <is>
          <t>M</t>
        </is>
      </c>
      <c r="B16" s="11" t="inlineStr">
        <is>
          <t>Münze</t>
        </is>
      </c>
      <c r="C16" s="11" t="inlineStr">
        <is>
          <t>Bargeld</t>
        </is>
      </c>
      <c r="E16" s="44" t="n">
        <v>0.05</v>
      </c>
      <c r="F16" s="44">
        <f>SUMIF('Kassenzählung'!$C$16:$C$115,E16,'Kassenzählung'!$E$16:$E$115)</f>
        <v/>
      </c>
      <c r="G16" s="44">
        <f>SUMIF('Kassenzählung'!$C$16:$C$115,E16,'Kassenzählung'!$H$16:$H$115)</f>
        <v/>
      </c>
      <c r="I16" s="11" t="inlineStr">
        <is>
          <t>Münze</t>
        </is>
      </c>
      <c r="J16" s="44">
        <f>SUMIF('Kassenzählung'!$B$16:$B$115,I16,'Kassenzählung'!$E$16:$E$115)</f>
        <v/>
      </c>
    </row>
    <row r="17">
      <c r="A17" s="17" t="inlineStr">
        <is>
          <t>N</t>
        </is>
      </c>
      <c r="B17" s="17" t="inlineStr">
        <is>
          <t>Banknote</t>
        </is>
      </c>
      <c r="C17" s="17" t="inlineStr">
        <is>
          <t>Bargeld</t>
        </is>
      </c>
      <c r="E17" s="46" t="n">
        <v>0.1</v>
      </c>
      <c r="F17" s="46">
        <f>SUMIF('Kassenzählung'!$C$16:$C$115,E17,'Kassenzählung'!$E$16:$E$115)</f>
        <v/>
      </c>
      <c r="G17" s="46">
        <f>SUMIF('Kassenzählung'!$C$16:$C$115,E17,'Kassenzählung'!$H$16:$H$115)</f>
        <v/>
      </c>
      <c r="I17" s="17" t="inlineStr">
        <is>
          <t>Banknote</t>
        </is>
      </c>
      <c r="J17" s="46">
        <f>SUMIF('Kassenzählung'!$B$16:$B$115,I17,'Kassenzählung'!$E$16:$E$115)</f>
        <v/>
      </c>
    </row>
    <row r="18">
      <c r="E18" s="44" t="n">
        <v>0.2</v>
      </c>
      <c r="F18" s="44">
        <f>SUMIF('Kassenzählung'!$C$16:$C$115,E18,'Kassenzählung'!$E$16:$E$115)</f>
        <v/>
      </c>
      <c r="G18" s="44">
        <f>SUMIF('Kassenzählung'!$C$16:$C$115,E18,'Kassenzählung'!$H$16:$H$115)</f>
        <v/>
      </c>
    </row>
    <row r="19">
      <c r="E19" s="46" t="n">
        <v>0.5</v>
      </c>
      <c r="F19" s="46">
        <f>SUMIF('Kassenzählung'!$C$16:$C$115,E19,'Kassenzählung'!$E$16:$E$115)</f>
        <v/>
      </c>
      <c r="G19" s="46">
        <f>SUMIF('Kassenzählung'!$C$16:$C$115,E19,'Kassenzählung'!$H$16:$H$115)</f>
        <v/>
      </c>
    </row>
    <row r="20">
      <c r="E20" s="44" t="n">
        <v>1</v>
      </c>
      <c r="F20" s="44">
        <f>SUMIF('Kassenzählung'!$C$16:$C$115,E20,'Kassenzählung'!$E$16:$E$115)</f>
        <v/>
      </c>
      <c r="G20" s="44">
        <f>SUMIF('Kassenzählung'!$C$16:$C$115,E20,'Kassenzählung'!$H$16:$H$115)</f>
        <v/>
      </c>
    </row>
    <row r="21">
      <c r="E21" s="46" t="n">
        <v>2</v>
      </c>
      <c r="F21" s="46">
        <f>SUMIF('Kassenzählung'!$C$16:$C$115,E21,'Kassenzählung'!$E$16:$E$115)</f>
        <v/>
      </c>
      <c r="G21" s="46">
        <f>SUMIF('Kassenzählung'!$C$16:$C$115,E21,'Kassenzählung'!$H$16:$H$115)</f>
        <v/>
      </c>
    </row>
    <row r="22">
      <c r="E22" s="44" t="n">
        <v>5</v>
      </c>
      <c r="F22" s="44">
        <f>SUMIF('Kassenzählung'!$C$16:$C$115,E22,'Kassenzählung'!$E$16:$E$115)</f>
        <v/>
      </c>
      <c r="G22" s="44">
        <f>SUMIF('Kassenzählung'!$C$16:$C$115,E22,'Kassenzählung'!$H$16:$H$115)</f>
        <v/>
      </c>
    </row>
    <row r="23">
      <c r="E23" s="46" t="n">
        <v>10</v>
      </c>
      <c r="F23" s="46">
        <f>SUMIF('Kassenzählung'!$C$16:$C$115,E23,'Kassenzählung'!$E$16:$E$115)</f>
        <v/>
      </c>
      <c r="G23" s="46">
        <f>SUMIF('Kassenzählung'!$C$16:$C$115,E23,'Kassenzählung'!$H$16:$H$115)</f>
        <v/>
      </c>
    </row>
    <row r="24">
      <c r="E24" s="44" t="n">
        <v>20</v>
      </c>
      <c r="F24" s="44">
        <f>SUMIF('Kassenzählung'!$C$16:$C$115,E24,'Kassenzählung'!$E$16:$E$115)</f>
        <v/>
      </c>
      <c r="G24" s="44">
        <f>SUMIF('Kassenzählung'!$C$16:$C$115,E24,'Kassenzählung'!$H$16:$H$115)</f>
        <v/>
      </c>
    </row>
    <row r="25">
      <c r="E25" s="46" t="n">
        <v>50</v>
      </c>
      <c r="F25" s="46">
        <f>SUMIF('Kassenzählung'!$C$16:$C$115,E25,'Kassenzählung'!$E$16:$E$115)</f>
        <v/>
      </c>
      <c r="G25" s="46">
        <f>SUMIF('Kassenzählung'!$C$16:$C$115,E25,'Kassenzählung'!$H$16:$H$115)</f>
        <v/>
      </c>
    </row>
    <row r="26">
      <c r="E26" s="44" t="n">
        <v>100</v>
      </c>
      <c r="F26" s="44">
        <f>SUMIF('Kassenzählung'!$C$16:$C$115,E26,'Kassenzählung'!$E$16:$E$115)</f>
        <v/>
      </c>
      <c r="G26" s="44">
        <f>SUMIF('Kassenzählung'!$C$16:$C$115,E26,'Kassenzählung'!$H$16:$H$115)</f>
        <v/>
      </c>
    </row>
    <row r="27">
      <c r="E27" s="46" t="n">
        <v>200</v>
      </c>
      <c r="F27" s="46">
        <f>SUMIF('Kassenzählung'!$C$16:$C$115,E27,'Kassenzählung'!$E$16:$E$115)</f>
        <v/>
      </c>
      <c r="G27" s="46">
        <f>SUMIF('Kassenzählung'!$C$16:$C$115,E27,'Kassenzählung'!$H$16:$H$115)</f>
        <v/>
      </c>
    </row>
    <row r="28">
      <c r="E28" s="44" t="n">
        <v>500</v>
      </c>
      <c r="F28" s="44">
        <f>SUMIF('Kassenzählung'!$C$16:$C$115,E28,'Kassenzählung'!$E$16:$E$115)</f>
        <v/>
      </c>
      <c r="G28" s="44">
        <f>SUMIF('Kassenzählung'!$C$16:$C$115,E28,'Kassenzählung'!$H$16:$H$115)</f>
        <v/>
      </c>
    </row>
    <row r="29">
      <c r="E29" s="46" t="n">
        <v>1000</v>
      </c>
      <c r="F29" s="46">
        <f>SUMIF('Kassenzählung'!$C$16:$C$115,E29,'Kassenzählung'!$E$16:$E$115)</f>
        <v/>
      </c>
      <c r="G29" s="46">
        <f>SUMIF('Kassenzählung'!$C$16:$C$115,E29,'Kassenzählung'!$H$16:$H$115)</f>
        <v/>
      </c>
    </row>
  </sheetData>
  <mergeCells count="1">
    <mergeCell ref="A1:K1"/>
  </mergeCells>
  <conditionalFormatting sqref="B10">
    <cfRule type="expression" priority="1" dxfId="0">
      <formula>B10="Ausgeglichen"</formula>
    </cfRule>
    <cfRule type="expression" priority="2" dxfId="1">
      <formula>B10="Kontrolle erforderlich"</formula>
    </cfRule>
  </conditionalFormatting>
  <conditionalFormatting sqref="B6">
    <cfRule type="expression" priority="3" dxfId="1">
      <formula>B6&lt;0</formula>
    </cfRule>
    <cfRule type="expression" priority="4" dxfId="0">
      <formula>B6&gt;0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6" customHeight="1">
      <c r="A1" s="1" t="inlineStr">
        <is>
          <t>Anleitung Kassenzählprotokoll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2" t="inlineStr">
        <is>
          <t>So verwenden Sie diese Vorlage</t>
        </is>
      </c>
    </row>
    <row r="4"/>
    <row r="5">
      <c r="A5" s="31" t="inlineStr">
        <is>
          <t>1. Kopfbereich vollständig ausfüllen.</t>
        </is>
      </c>
      <c r="B5" s="37" t="n"/>
      <c r="C5" s="37" t="n"/>
      <c r="D5" s="37" t="n"/>
      <c r="E5" s="37" t="n"/>
      <c r="F5" s="37" t="n"/>
      <c r="G5" s="37" t="n"/>
      <c r="H5" s="38" t="n"/>
    </row>
    <row r="6">
      <c r="A6" s="33" t="inlineStr">
        <is>
          <t>2. Jede Münz- und Banknotensorte physisch zählen.</t>
        </is>
      </c>
      <c r="B6" s="37" t="n"/>
      <c r="C6" s="37" t="n"/>
      <c r="D6" s="37" t="n"/>
      <c r="E6" s="37" t="n"/>
      <c r="F6" s="37" t="n"/>
      <c r="G6" s="37" t="n"/>
      <c r="H6" s="38" t="n"/>
    </row>
    <row r="7">
      <c r="A7" s="31" t="inlineStr">
        <is>
          <t>3. Anzahl in die gelben Eingabefelder eintragen.</t>
        </is>
      </c>
      <c r="B7" s="37" t="n"/>
      <c r="C7" s="37" t="n"/>
      <c r="D7" s="37" t="n"/>
      <c r="E7" s="37" t="n"/>
      <c r="F7" s="37" t="n"/>
      <c r="G7" s="37" t="n"/>
      <c r="H7" s="38" t="n"/>
    </row>
    <row r="8">
      <c r="A8" s="33" t="inlineStr">
        <is>
          <t>4. Soll-Anzahlen nur verwenden, wenn ein Vergleich mit dem Kassenbericht vorgesehen ist.</t>
        </is>
      </c>
      <c r="B8" s="37" t="n"/>
      <c r="C8" s="37" t="n"/>
      <c r="D8" s="37" t="n"/>
      <c r="E8" s="37" t="n"/>
      <c r="F8" s="37" t="n"/>
      <c r="G8" s="37" t="n"/>
      <c r="H8" s="38" t="n"/>
    </row>
    <row r="9">
      <c r="A9" s="31" t="inlineStr">
        <is>
          <t>5. Differenzen prüfen und bei Bedarf eine Bemerkung erfassen.</t>
        </is>
      </c>
      <c r="B9" s="37" t="n"/>
      <c r="C9" s="37" t="n"/>
      <c r="D9" s="37" t="n"/>
      <c r="E9" s="37" t="n"/>
      <c r="F9" s="37" t="n"/>
      <c r="G9" s="37" t="n"/>
      <c r="H9" s="38" t="n"/>
    </row>
    <row r="10">
      <c r="A10" s="33" t="inlineStr">
        <is>
          <t>6. Protokoll durch die verantwortliche Person kontrollieren und archivieren.</t>
        </is>
      </c>
      <c r="B10" s="37" t="n"/>
      <c r="C10" s="37" t="n"/>
      <c r="D10" s="37" t="n"/>
      <c r="E10" s="37" t="n"/>
      <c r="F10" s="37" t="n"/>
      <c r="G10" s="37" t="n"/>
      <c r="H10" s="38" t="n"/>
    </row>
    <row r="11">
      <c r="A11" s="31" t="inlineStr">
        <is>
          <t>7. Bei wiederholten Fehlbeträgen interne Kassenrichtlinien prüfen.</t>
        </is>
      </c>
      <c r="B11" s="37" t="n"/>
      <c r="C11" s="37" t="n"/>
      <c r="D11" s="37" t="n"/>
      <c r="E11" s="37" t="n"/>
      <c r="F11" s="37" t="n"/>
      <c r="G11" s="37" t="n"/>
      <c r="H11" s="38" t="n"/>
    </row>
    <row r="12"/>
    <row r="13"/>
    <row r="14">
      <c r="A14" s="3" t="inlineStr">
        <is>
          <t>Hinweis</t>
        </is>
      </c>
    </row>
    <row r="15">
      <c r="A15" s="35" t="inlineStr">
        <is>
          <t>Das Protokoll ersetzt keine Buchhaltungs- oder MWST-Abrechnung. Barbewegungen sind gemäss internen Kontrollen und dem Kontenrahmen KMU zu dokumentieren.</t>
        </is>
      </c>
      <c r="B15" s="54" t="n"/>
      <c r="C15" s="54" t="n"/>
      <c r="D15" s="54" t="n"/>
      <c r="E15" s="54" t="n"/>
      <c r="F15" s="54" t="n"/>
      <c r="G15" s="54" t="n"/>
      <c r="H15" s="55" t="n"/>
    </row>
    <row r="16">
      <c r="A16" s="56" t="n"/>
      <c r="B16" s="57" t="n"/>
      <c r="C16" s="57" t="n"/>
      <c r="D16" s="57" t="n"/>
      <c r="E16" s="57" t="n"/>
      <c r="F16" s="57" t="n"/>
      <c r="G16" s="57" t="n"/>
      <c r="H16" s="58" t="n"/>
    </row>
    <row r="17"/>
    <row r="18">
      <c r="A18" s="2" t="inlineStr">
        <is>
          <t>Blattübersicht</t>
        </is>
      </c>
    </row>
    <row r="19">
      <c r="A19" s="10" t="inlineStr">
        <is>
          <t>Arbeitsblatt</t>
        </is>
      </c>
      <c r="B19" s="10" t="inlineStr">
        <is>
          <t>Zweck</t>
        </is>
      </c>
    </row>
    <row r="20">
      <c r="A20" s="31" t="inlineStr">
        <is>
          <t>Kassenzählung</t>
        </is>
      </c>
      <c r="B20" s="31" t="inlineStr">
        <is>
          <t>Erfassung der gezählten Geldbestände, Soll-Anzahlen, Differenzen und Bemerkungen.</t>
        </is>
      </c>
    </row>
    <row r="21">
      <c r="A21" s="33" t="inlineStr">
        <is>
          <t>Auswertung</t>
        </is>
      </c>
      <c r="B21" s="33" t="inlineStr">
        <is>
          <t>Kennzahlen, Geldarten-Lookup und Diagramme für den Kassensturz.</t>
        </is>
      </c>
    </row>
    <row r="22">
      <c r="A22" s="31" t="inlineStr">
        <is>
          <t>Anleitung</t>
        </is>
      </c>
      <c r="B22" s="31" t="inlineStr">
        <is>
          <t>Kurze Arbeitsanleitung und Hinweise zur korrekten Verwendung.</t>
        </is>
      </c>
    </row>
  </sheetData>
  <mergeCells count="9">
    <mergeCell ref="A1:H1"/>
    <mergeCell ref="A5:H5"/>
    <mergeCell ref="A6:H6"/>
    <mergeCell ref="A7:H7"/>
    <mergeCell ref="A8:H8"/>
    <mergeCell ref="A9:H9"/>
    <mergeCell ref="A10:H10"/>
    <mergeCell ref="A11:H11"/>
    <mergeCell ref="A15:H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2026-09-11T09:05:34Z</dcterms:created>
  <dcterms:modified xmlns:dcterms="http://purl.org/dc/terms/" xmlns:xsi="http://www.w3.org/2001/XMLSchema-instance" xsi:type="dcterms:W3CDTF">2026-09-11T09:05:34Z</dcterms:modified>
</cp:coreProperties>
</file>