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VG_Berechnung" sheetId="1" state="visible" r:id="rId1"/>
    <sheet xmlns:r="http://schemas.openxmlformats.org/officeDocument/2006/relationships" name="BVG_Sätze" sheetId="2" state="visible" r:id="rId2"/>
    <sheet xmlns:r="http://schemas.openxmlformats.org/officeDocument/2006/relationships" name="Auswertung" sheetId="3" state="visible" r:id="rId3"/>
    <sheet xmlns:r="http://schemas.openxmlformats.org/officeDocument/2006/relationships" name="Hinweise" sheetId="4" state="visible" r:id="rId4"/>
  </sheets>
  <definedNames>
    <definedName name="_xlnm._FilterDatabase" localSheetId="0" hidden="1">'BVG_Berechnung'!$A$2:$T$12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DD.MM.YYYY"/>
    <numFmt numFmtId="165" formatCode="CHF #'##0.00"/>
    <numFmt numFmtId="166" formatCode="0.0%"/>
  </numFmts>
  <fonts count="11">
    <font>
      <name val="Calibri"/>
      <family val="2"/>
      <color theme="1"/>
      <sz val="11"/>
      <scheme val="minor"/>
    </font>
    <font>
      <name val="Calibri"/>
      <b val="1"/>
      <color rgb="001E293B"/>
      <sz val="14"/>
    </font>
    <font>
      <name val="Calibri"/>
      <b val="1"/>
      <color rgb="00FFFFFF"/>
      <sz val="14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name val="Calibri"/>
      <b val="1"/>
      <color rgb="00FFFFFF"/>
      <sz val="10"/>
    </font>
    <font>
      <name val="Calibri"/>
      <b val="1"/>
      <color rgb="00FFFFFF"/>
      <sz val="13"/>
    </font>
    <font>
      <name val="Calibri"/>
      <b val="1"/>
      <color rgb="001E293B"/>
      <sz val="11"/>
    </font>
    <font>
      <name val="Calibri"/>
      <b val="1"/>
      <color rgb="00FFFFFF"/>
      <sz val="12"/>
    </font>
    <font>
      <name val="Calibri"/>
      <b val="1"/>
      <color rgb="00166534"/>
      <sz val="10"/>
    </font>
  </fonts>
  <fills count="9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F0FDFA"/>
      </patternFill>
    </fill>
    <fill>
      <patternFill patternType="solid">
        <fgColor rgb="00E2E8F0"/>
      </patternFill>
    </fill>
    <fill>
      <patternFill patternType="solid">
        <fgColor rgb="00C8102E"/>
      </patternFill>
    </fill>
    <fill>
      <patternFill patternType="solid">
        <fgColor rgb="00DCFCE7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59">
    <xf numFmtId="0" fontId="0" fillId="0" borderId="0" pivotButton="0" quotePrefix="0" xfId="0"/>
    <xf numFmtId="0" fontId="2" fillId="2" borderId="0" applyAlignment="1" pivotButton="0" quotePrefix="0" xfId="0">
      <alignment horizontal="center" vertical="center" wrapText="1"/>
    </xf>
    <xf numFmtId="0" fontId="3" fillId="2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0" fontId="4" fillId="4" borderId="1" pivotButton="0" quotePrefix="0" xfId="0"/>
    <xf numFmtId="164" fontId="4" fillId="3" borderId="1" pivotButton="0" quotePrefix="0" xfId="0"/>
    <xf numFmtId="165" fontId="4" fillId="3" borderId="1" pivotButton="0" quotePrefix="0" xfId="0"/>
    <xf numFmtId="165" fontId="4" fillId="0" borderId="1" pivotButton="0" quotePrefix="0" xfId="0"/>
    <xf numFmtId="165" fontId="4" fillId="4" borderId="1" pivotButton="0" quotePrefix="0" xfId="0"/>
    <xf numFmtId="166" fontId="4" fillId="4" borderId="1" applyAlignment="1" pivotButton="0" quotePrefix="0" xfId="0">
      <alignment horizontal="center" vertical="center" wrapText="1"/>
    </xf>
    <xf numFmtId="0" fontId="4" fillId="3" borderId="1" pivotButton="0" quotePrefix="0" xfId="0"/>
    <xf numFmtId="0" fontId="4" fillId="5" borderId="1" applyAlignment="1" pivotButton="0" quotePrefix="0" xfId="0">
      <alignment horizontal="center" vertical="center" wrapText="1"/>
    </xf>
    <xf numFmtId="0" fontId="4" fillId="5" borderId="1" pivotButton="0" quotePrefix="0" xfId="0"/>
    <xf numFmtId="165" fontId="4" fillId="5" borderId="1" pivotButton="0" quotePrefix="0" xfId="0"/>
    <xf numFmtId="166" fontId="4" fillId="5" borderId="1" applyAlignment="1" pivotButton="0" quotePrefix="0" xfId="0">
      <alignment horizontal="center" vertical="center" wrapText="1"/>
    </xf>
    <xf numFmtId="0" fontId="6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165" fontId="6" fillId="2" borderId="1" applyAlignment="1" pivotButton="0" quotePrefix="0" xfId="0">
      <alignment horizontal="right" vertical="center"/>
    </xf>
    <xf numFmtId="0" fontId="7" fillId="2" borderId="0" applyAlignment="1" pivotButton="0" quotePrefix="0" xfId="0">
      <alignment horizontal="center" vertical="center" wrapText="1"/>
    </xf>
    <xf numFmtId="0" fontId="8" fillId="6" borderId="1" pivotButton="0" quotePrefix="0" xfId="0"/>
    <xf numFmtId="0" fontId="5" fillId="5" borderId="1" pivotButton="0" quotePrefix="0" xfId="0"/>
    <xf numFmtId="165" fontId="0" fillId="3" borderId="1" applyAlignment="1" pivotButton="0" quotePrefix="0" xfId="0">
      <alignment horizontal="right" vertical="center"/>
    </xf>
    <xf numFmtId="0" fontId="0" fillId="0" borderId="1" pivotButton="0" quotePrefix="0" xfId="0"/>
    <xf numFmtId="0" fontId="5" fillId="4" borderId="1" pivotButton="0" quotePrefix="0" xfId="0"/>
    <xf numFmtId="166" fontId="0" fillId="3" borderId="1" applyAlignment="1" pivotButton="0" quotePrefix="0" xfId="0">
      <alignment horizontal="right" vertical="center"/>
    </xf>
    <xf numFmtId="166" fontId="0" fillId="5" borderId="1" applyAlignment="1" pivotButton="0" quotePrefix="0" xfId="0">
      <alignment horizontal="right" vertical="center"/>
    </xf>
    <xf numFmtId="0" fontId="0" fillId="5" borderId="1" pivotButton="0" quotePrefix="0" xfId="0"/>
    <xf numFmtId="1" fontId="0" fillId="4" borderId="1" applyAlignment="1" pivotButton="0" quotePrefix="0" xfId="0">
      <alignment horizontal="right" vertical="center"/>
    </xf>
    <xf numFmtId="0" fontId="0" fillId="4" borderId="1" pivotButton="0" quotePrefix="0" xfId="0"/>
    <xf numFmtId="0" fontId="9" fillId="7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/>
    </xf>
    <xf numFmtId="1" fontId="10" fillId="8" borderId="1" applyAlignment="1" pivotButton="0" quotePrefix="0" xfId="0">
      <alignment horizontal="right" vertical="center"/>
    </xf>
    <xf numFmtId="165" fontId="0" fillId="5" borderId="1" applyAlignment="1" pivotButton="0" quotePrefix="0" xfId="0">
      <alignment horizontal="right" vertical="center"/>
    </xf>
    <xf numFmtId="0" fontId="5" fillId="4" borderId="1" applyAlignment="1" pivotButton="0" quotePrefix="0" xfId="0">
      <alignment horizontal="left" vertical="center"/>
    </xf>
    <xf numFmtId="165" fontId="10" fillId="8" borderId="1" applyAlignment="1" pivotButton="0" quotePrefix="0" xfId="0">
      <alignment horizontal="right" vertical="center"/>
    </xf>
    <xf numFmtId="165" fontId="0" fillId="4" borderId="1" applyAlignment="1" pivotButton="0" quotePrefix="0" xfId="0">
      <alignment horizontal="right" vertical="center"/>
    </xf>
    <xf numFmtId="166" fontId="10" fillId="8" borderId="1" applyAlignment="1" pivotButton="0" quotePrefix="0" xfId="0">
      <alignment horizontal="right" vertical="center"/>
    </xf>
    <xf numFmtId="0" fontId="3" fillId="7" borderId="1" applyAlignment="1" pivotButton="0" quotePrefix="0" xfId="0">
      <alignment horizontal="left" vertical="center"/>
    </xf>
    <xf numFmtId="0" fontId="5" fillId="5" borderId="1" applyAlignment="1" pivotButton="0" quotePrefix="0" xfId="0">
      <alignment horizontal="left" vertical="top" wrapText="1"/>
    </xf>
    <xf numFmtId="0" fontId="4" fillId="5" borderId="1" applyAlignment="1" pivotButton="0" quotePrefix="0" xfId="0">
      <alignment horizontal="left" vertical="top" wrapText="1"/>
    </xf>
    <xf numFmtId="0" fontId="5" fillId="4" borderId="1" applyAlignment="1" pivotButton="0" quotePrefix="0" xfId="0">
      <alignment horizontal="left" vertical="top" wrapText="1"/>
    </xf>
    <xf numFmtId="0" fontId="4" fillId="4" borderId="1" applyAlignment="1" pivotButton="0" quotePrefix="0" xfId="0">
      <alignment horizontal="left" vertical="top" wrapText="1"/>
    </xf>
    <xf numFmtId="164" fontId="4" fillId="3" borderId="1" pivotButton="0" quotePrefix="0" xfId="0"/>
    <xf numFmtId="165" fontId="4" fillId="3" borderId="1" pivotButton="0" quotePrefix="0" xfId="0"/>
    <xf numFmtId="165" fontId="4" fillId="0" borderId="1" pivotButton="0" quotePrefix="0" xfId="0"/>
    <xf numFmtId="165" fontId="4" fillId="4" borderId="1" pivotButton="0" quotePrefix="0" xfId="0"/>
    <xf numFmtId="166" fontId="4" fillId="4" borderId="1" applyAlignment="1" pivotButton="0" quotePrefix="0" xfId="0">
      <alignment horizontal="center" vertical="center" wrapText="1"/>
    </xf>
    <xf numFmtId="165" fontId="4" fillId="5" borderId="1" pivotButton="0" quotePrefix="0" xfId="0"/>
    <xf numFmtId="166" fontId="4" fillId="5" borderId="1" applyAlignment="1" pivotButton="0" quotePrefix="0" xfId="0">
      <alignment horizontal="center" vertical="center" wrapText="1"/>
    </xf>
    <xf numFmtId="165" fontId="6" fillId="2" borderId="1" applyAlignment="1" pivotButton="0" quotePrefix="0" xfId="0">
      <alignment horizontal="right" vertical="center"/>
    </xf>
    <xf numFmtId="165" fontId="0" fillId="3" borderId="1" applyAlignment="1" pivotButton="0" quotePrefix="0" xfId="0">
      <alignment horizontal="right" vertical="center"/>
    </xf>
    <xf numFmtId="166" fontId="0" fillId="3" borderId="1" applyAlignment="1" pivotButton="0" quotePrefix="0" xfId="0">
      <alignment horizontal="right" vertical="center"/>
    </xf>
    <xf numFmtId="166" fontId="0" fillId="5" borderId="1" applyAlignment="1" pivotButton="0" quotePrefix="0" xfId="0">
      <alignment horizontal="right" vertical="center"/>
    </xf>
    <xf numFmtId="0" fontId="0" fillId="0" borderId="4" pivotButton="0" quotePrefix="0" xfId="0"/>
    <xf numFmtId="0" fontId="0" fillId="0" borderId="5" pivotButton="0" quotePrefix="0" xfId="0"/>
    <xf numFmtId="165" fontId="0" fillId="5" borderId="1" applyAlignment="1" pivotButton="0" quotePrefix="0" xfId="0">
      <alignment horizontal="right" vertical="center"/>
    </xf>
    <xf numFmtId="165" fontId="10" fillId="8" borderId="1" applyAlignment="1" pivotButton="0" quotePrefix="0" xfId="0">
      <alignment horizontal="right" vertical="center"/>
    </xf>
    <xf numFmtId="165" fontId="0" fillId="4" borderId="1" applyAlignment="1" pivotButton="0" quotePrefix="0" xfId="0">
      <alignment horizontal="right" vertical="center"/>
    </xf>
    <xf numFmtId="166" fontId="10" fillId="8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BVG-Kosten nach Abteilung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'Auswertung'!F3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'Auswertung'!$E$4:$E$13</f>
            </numRef>
          </cat>
          <val>
            <numRef>
              <f>'Auswertung'!$F$4:$F$13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Abteilung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CHF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Arbeitnehmer vs. Arbeitgeber BVG-Anteil</a:t>
            </a:r>
          </a:p>
        </rich>
      </tx>
    </title>
    <plotArea>
      <pieChart>
        <varyColors val="1"/>
        <ser>
          <idx val="0"/>
          <order val="0"/>
          <tx>
            <strRef>
              <f>'Auswertung'!F14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C8102E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1E293B"/>
              </a:solidFill>
              <a:ln xmlns:a="http://schemas.openxmlformats.org/drawingml/2006/main">
                <a:prstDash val="solid"/>
              </a:ln>
            </spPr>
          </dPt>
          <cat>
            <numRef>
              <f>'Auswertung'!$E$15:$E$16</f>
            </numRef>
          </cat>
          <val>
            <numRef>
              <f>'Auswertung'!$F$15:$F$16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15</row>
      <rowOff>0</rowOff>
    </from>
    <ext cx="648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15</row>
      <rowOff>0</rowOff>
    </from>
    <ext cx="504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6" customWidth="1" min="1" max="1"/>
    <col width="14" customWidth="1" min="2" max="2"/>
    <col width="14" customWidth="1" min="3" max="3"/>
    <col width="12" customWidth="1" min="4" max="4"/>
    <col width="15" customWidth="1" min="5" max="5"/>
    <col width="15" customWidth="1" min="6" max="6"/>
    <col width="15" customWidth="1" min="7" max="7"/>
    <col width="15" customWidth="1" min="8" max="8"/>
    <col width="9" customWidth="1" min="9" max="9"/>
    <col width="15" customWidth="1" min="10" max="10"/>
    <col width="18" customWidth="1" min="11" max="11"/>
    <col width="22" customWidth="1" min="12" max="12"/>
    <col width="22" customWidth="1" min="13" max="13"/>
    <col width="18" customWidth="1" min="14" max="14"/>
    <col width="13" customWidth="1" min="15" max="15"/>
    <col width="22" customWidth="1" min="16" max="16"/>
    <col width="22" customWidth="1" min="17" max="17"/>
    <col width="22" customWidth="1" min="18" max="18"/>
    <col width="15" customWidth="1" min="19" max="19"/>
    <col width="25" customWidth="1" min="20" max="20"/>
  </cols>
  <sheetData>
    <row r="1" ht="28" customHeight="1">
      <c r="A1" s="1" t="inlineStr">
        <is>
          <t>BVG-Beitragsberechnung Schweiz 2026</t>
        </is>
      </c>
    </row>
    <row r="2" ht="36" customHeight="1">
      <c r="A2" s="2" t="inlineStr">
        <is>
          <t>Nr.</t>
        </is>
      </c>
      <c r="B2" s="2" t="inlineStr">
        <is>
          <t>Vorname</t>
        </is>
      </c>
      <c r="C2" s="2" t="inlineStr">
        <is>
          <t>Nachname</t>
        </is>
      </c>
      <c r="D2" s="2" t="inlineStr">
        <is>
          <t>Geschlecht</t>
        </is>
      </c>
      <c r="E2" s="2" t="inlineStr">
        <is>
          <t>Geburtsdatum</t>
        </is>
      </c>
      <c r="F2" s="2" t="inlineStr">
        <is>
          <t>Eintrittsdatum</t>
        </is>
      </c>
      <c r="G2" s="2" t="inlineStr">
        <is>
          <t>Austrittsdatum</t>
        </is>
      </c>
      <c r="H2" s="2" t="inlineStr">
        <is>
          <t>Standort</t>
        </is>
      </c>
      <c r="I2" s="2" t="inlineStr">
        <is>
          <t>Kanton</t>
        </is>
      </c>
      <c r="J2" s="2" t="inlineStr">
        <is>
          <t>Abteilung</t>
        </is>
      </c>
      <c r="K2" s="2" t="inlineStr">
        <is>
          <t>Jahreslohn CHF</t>
        </is>
      </c>
      <c r="L2" s="2" t="inlineStr">
        <is>
          <t>Koordinationsabzug CHF</t>
        </is>
      </c>
      <c r="M2" s="2" t="inlineStr">
        <is>
          <t>Versicherter Lohn CHF</t>
        </is>
      </c>
      <c r="N2" s="2" t="inlineStr">
        <is>
          <t>Alterskategorie</t>
        </is>
      </c>
      <c r="O2" s="2" t="inlineStr">
        <is>
          <t>BVG-Satz %</t>
        </is>
      </c>
      <c r="P2" s="2" t="inlineStr">
        <is>
          <t>Arbeitnehmeranteil CHF</t>
        </is>
      </c>
      <c r="Q2" s="2" t="inlineStr">
        <is>
          <t>Arbeitgeberanteil CHF</t>
        </is>
      </c>
      <c r="R2" s="2" t="inlineStr">
        <is>
          <t>Total BVG-Kosten CHF</t>
        </is>
      </c>
      <c r="S2" s="2" t="inlineStr">
        <is>
          <t>AHV-pflichtig?</t>
        </is>
      </c>
      <c r="T2" s="2" t="inlineStr">
        <is>
          <t>Kommentar</t>
        </is>
      </c>
    </row>
    <row r="3">
      <c r="A3" s="3" t="n">
        <v>1</v>
      </c>
      <c r="B3" s="4" t="inlineStr">
        <is>
          <t>Andrea</t>
        </is>
      </c>
      <c r="C3" s="4" t="inlineStr">
        <is>
          <t>Müller</t>
        </is>
      </c>
      <c r="D3" s="3" t="inlineStr">
        <is>
          <t>W</t>
        </is>
      </c>
      <c r="E3" s="42" t="n">
        <v>30025</v>
      </c>
      <c r="F3" s="42" t="n">
        <v>46082</v>
      </c>
      <c r="G3" s="42" t="inlineStr"/>
      <c r="H3" s="4" t="inlineStr">
        <is>
          <t>Zürich</t>
        </is>
      </c>
      <c r="I3" s="3" t="inlineStr">
        <is>
          <t>ZH</t>
        </is>
      </c>
      <c r="J3" s="4" t="inlineStr">
        <is>
          <t>Administration</t>
        </is>
      </c>
      <c r="K3" s="43" t="n">
        <v>88000</v>
      </c>
      <c r="L3" s="44" t="n">
        <v>26460</v>
      </c>
      <c r="M3" s="45">
        <f>MAX(0,K3-L3)</f>
        <v/>
      </c>
      <c r="N3" s="3">
        <f>IF(IFERROR(YEARFRAC(E3,TODAY()),0)&lt;25,"18-24",IF(IFERROR(YEARFRAC(E3,TODAY()),0)&lt;35,"25-34",IF(IFERROR(YEARFRAC(E3,TODAY()),0)&lt;45,"35-44",IF(IFERROR(YEARFRAC(E3,TODAY()),0)&lt;55,"45-54","55-65"))))</f>
        <v/>
      </c>
      <c r="O3" s="46">
        <f>IFERROR(VLOOKUP(N3,BVG_Sätze!$A$3:$D$7,4,FALSE),0)</f>
        <v/>
      </c>
      <c r="P3" s="45">
        <f>M3*O3/2</f>
        <v/>
      </c>
      <c r="Q3" s="45">
        <f>M3*O3/2</f>
        <v/>
      </c>
      <c r="R3" s="45">
        <f>P3+Q3</f>
        <v/>
      </c>
      <c r="S3" s="3">
        <f>IF(K3&gt;0,"Ja","Nein")</f>
        <v/>
      </c>
      <c r="T3" s="10" t="n"/>
    </row>
    <row r="4">
      <c r="A4" s="11" t="n">
        <v>2</v>
      </c>
      <c r="B4" s="12" t="inlineStr">
        <is>
          <t>Markus</t>
        </is>
      </c>
      <c r="C4" s="12" t="inlineStr">
        <is>
          <t>Steiner</t>
        </is>
      </c>
      <c r="D4" s="11" t="inlineStr">
        <is>
          <t>M</t>
        </is>
      </c>
      <c r="E4" s="42" t="n">
        <v>27597</v>
      </c>
      <c r="F4" s="42" t="n">
        <v>46023</v>
      </c>
      <c r="G4" s="42" t="inlineStr"/>
      <c r="H4" s="12" t="inlineStr">
        <is>
          <t>Bern</t>
        </is>
      </c>
      <c r="I4" s="11" t="inlineStr">
        <is>
          <t>BE</t>
        </is>
      </c>
      <c r="J4" s="12" t="inlineStr">
        <is>
          <t>Verkauf</t>
        </is>
      </c>
      <c r="K4" s="43" t="n">
        <v>112000</v>
      </c>
      <c r="L4" s="44" t="n">
        <v>26460</v>
      </c>
      <c r="M4" s="47">
        <f>MAX(0,K4-L4)</f>
        <v/>
      </c>
      <c r="N4" s="11">
        <f>IF(IFERROR(YEARFRAC(E4,TODAY()),0)&lt;25,"18-24",IF(IFERROR(YEARFRAC(E4,TODAY()),0)&lt;35,"25-34",IF(IFERROR(YEARFRAC(E4,TODAY()),0)&lt;45,"35-44",IF(IFERROR(YEARFRAC(E4,TODAY()),0)&lt;55,"45-54","55-65"))))</f>
        <v/>
      </c>
      <c r="O4" s="48">
        <f>IFERROR(VLOOKUP(N4,BVG_Sätze!$A$3:$D$7,4,FALSE),0)</f>
        <v/>
      </c>
      <c r="P4" s="47">
        <f>M4*O4/2</f>
        <v/>
      </c>
      <c r="Q4" s="47">
        <f>M4*O4/2</f>
        <v/>
      </c>
      <c r="R4" s="47">
        <f>P4+Q4</f>
        <v/>
      </c>
      <c r="S4" s="11">
        <f>IF(K4&gt;0,"Ja","Nein")</f>
        <v/>
      </c>
      <c r="T4" s="10" t="n"/>
    </row>
    <row r="5">
      <c r="A5" s="3" t="n">
        <v>3</v>
      </c>
      <c r="B5" s="4" t="inlineStr">
        <is>
          <t>Sandra</t>
        </is>
      </c>
      <c r="C5" s="4" t="inlineStr">
        <is>
          <t>Keller</t>
        </is>
      </c>
      <c r="D5" s="3" t="inlineStr">
        <is>
          <t>W</t>
        </is>
      </c>
      <c r="E5" s="42" t="n">
        <v>33185</v>
      </c>
      <c r="F5" s="42" t="n">
        <v>46068</v>
      </c>
      <c r="G5" s="42" t="inlineStr"/>
      <c r="H5" s="4" t="inlineStr">
        <is>
          <t>Basel</t>
        </is>
      </c>
      <c r="I5" s="3" t="inlineStr">
        <is>
          <t>BS</t>
        </is>
      </c>
      <c r="J5" s="4" t="inlineStr">
        <is>
          <t>HR</t>
        </is>
      </c>
      <c r="K5" s="43" t="n">
        <v>72000</v>
      </c>
      <c r="L5" s="44" t="n">
        <v>26460</v>
      </c>
      <c r="M5" s="45">
        <f>MAX(0,K5-L5)</f>
        <v/>
      </c>
      <c r="N5" s="3">
        <f>IF(IFERROR(YEARFRAC(E5,TODAY()),0)&lt;25,"18-24",IF(IFERROR(YEARFRAC(E5,TODAY()),0)&lt;35,"25-34",IF(IFERROR(YEARFRAC(E5,TODAY()),0)&lt;45,"35-44",IF(IFERROR(YEARFRAC(E5,TODAY()),0)&lt;55,"45-54","55-65"))))</f>
        <v/>
      </c>
      <c r="O5" s="46">
        <f>IFERROR(VLOOKUP(N5,BVG_Sätze!$A$3:$D$7,4,FALSE),0)</f>
        <v/>
      </c>
      <c r="P5" s="45">
        <f>M5*O5/2</f>
        <v/>
      </c>
      <c r="Q5" s="45">
        <f>M5*O5/2</f>
        <v/>
      </c>
      <c r="R5" s="45">
        <f>P5+Q5</f>
        <v/>
      </c>
      <c r="S5" s="3">
        <f>IF(K5&gt;0,"Ja","Nein")</f>
        <v/>
      </c>
      <c r="T5" s="10" t="n"/>
    </row>
    <row r="6">
      <c r="A6" s="11" t="n">
        <v>4</v>
      </c>
      <c r="B6" s="12" t="inlineStr">
        <is>
          <t>Thomas</t>
        </is>
      </c>
      <c r="C6" s="12" t="inlineStr">
        <is>
          <t>Meier</t>
        </is>
      </c>
      <c r="D6" s="11" t="inlineStr">
        <is>
          <t>M</t>
        </is>
      </c>
      <c r="E6" s="42" t="n">
        <v>24958</v>
      </c>
      <c r="F6" s="42" t="n">
        <v>46023</v>
      </c>
      <c r="G6" s="42" t="inlineStr"/>
      <c r="H6" s="12" t="inlineStr">
        <is>
          <t>Lausanne</t>
        </is>
      </c>
      <c r="I6" s="11" t="inlineStr">
        <is>
          <t>VD</t>
        </is>
      </c>
      <c r="J6" s="12" t="inlineStr">
        <is>
          <t>IT</t>
        </is>
      </c>
      <c r="K6" s="43" t="n">
        <v>132000</v>
      </c>
      <c r="L6" s="44" t="n">
        <v>26460</v>
      </c>
      <c r="M6" s="47">
        <f>MAX(0,K6-L6)</f>
        <v/>
      </c>
      <c r="N6" s="11">
        <f>IF(IFERROR(YEARFRAC(E6,TODAY()),0)&lt;25,"18-24",IF(IFERROR(YEARFRAC(E6,TODAY()),0)&lt;35,"25-34",IF(IFERROR(YEARFRAC(E6,TODAY()),0)&lt;45,"35-44",IF(IFERROR(YEARFRAC(E6,TODAY()),0)&lt;55,"45-54","55-65"))))</f>
        <v/>
      </c>
      <c r="O6" s="48">
        <f>IFERROR(VLOOKUP(N6,BVG_Sätze!$A$3:$D$7,4,FALSE),0)</f>
        <v/>
      </c>
      <c r="P6" s="47">
        <f>M6*O6/2</f>
        <v/>
      </c>
      <c r="Q6" s="47">
        <f>M6*O6/2</f>
        <v/>
      </c>
      <c r="R6" s="47">
        <f>P6+Q6</f>
        <v/>
      </c>
      <c r="S6" s="11">
        <f>IF(K6&gt;0,"Ja","Nein")</f>
        <v/>
      </c>
      <c r="T6" s="10" t="n"/>
    </row>
    <row r="7">
      <c r="A7" s="3" t="n">
        <v>5</v>
      </c>
      <c r="B7" s="4" t="inlineStr">
        <is>
          <t>Reto</t>
        </is>
      </c>
      <c r="C7" s="4" t="inlineStr">
        <is>
          <t>Schmid</t>
        </is>
      </c>
      <c r="D7" s="3" t="inlineStr">
        <is>
          <t>M</t>
        </is>
      </c>
      <c r="E7" s="42" t="n">
        <v>31309</v>
      </c>
      <c r="F7" s="42" t="n">
        <v>46113</v>
      </c>
      <c r="G7" s="42" t="inlineStr"/>
      <c r="H7" s="4" t="inlineStr">
        <is>
          <t>Genf</t>
        </is>
      </c>
      <c r="I7" s="3" t="inlineStr">
        <is>
          <t>GE</t>
        </is>
      </c>
      <c r="J7" s="4" t="inlineStr">
        <is>
          <t>Finanzen</t>
        </is>
      </c>
      <c r="K7" s="43" t="n">
        <v>95000</v>
      </c>
      <c r="L7" s="44" t="n">
        <v>26460</v>
      </c>
      <c r="M7" s="45">
        <f>MAX(0,K7-L7)</f>
        <v/>
      </c>
      <c r="N7" s="3">
        <f>IF(IFERROR(YEARFRAC(E7,TODAY()),0)&lt;25,"18-24",IF(IFERROR(YEARFRAC(E7,TODAY()),0)&lt;35,"25-34",IF(IFERROR(YEARFRAC(E7,TODAY()),0)&lt;45,"35-44",IF(IFERROR(YEARFRAC(E7,TODAY()),0)&lt;55,"45-54","55-65"))))</f>
        <v/>
      </c>
      <c r="O7" s="46">
        <f>IFERROR(VLOOKUP(N7,BVG_Sätze!$A$3:$D$7,4,FALSE),0)</f>
        <v/>
      </c>
      <c r="P7" s="45">
        <f>M7*O7/2</f>
        <v/>
      </c>
      <c r="Q7" s="45">
        <f>M7*O7/2</f>
        <v/>
      </c>
      <c r="R7" s="45">
        <f>P7+Q7</f>
        <v/>
      </c>
      <c r="S7" s="3">
        <f>IF(K7&gt;0,"Ja","Nein")</f>
        <v/>
      </c>
      <c r="T7" s="10" t="n"/>
    </row>
    <row r="8">
      <c r="A8" s="11" t="n">
        <v>6</v>
      </c>
      <c r="B8" s="12" t="inlineStr">
        <is>
          <t>Nicole</t>
        </is>
      </c>
      <c r="C8" s="12" t="inlineStr">
        <is>
          <t>Brunner</t>
        </is>
      </c>
      <c r="D8" s="11" t="inlineStr">
        <is>
          <t>W</t>
        </is>
      </c>
      <c r="E8" s="42" t="n">
        <v>36680</v>
      </c>
      <c r="F8" s="42" t="n">
        <v>46174</v>
      </c>
      <c r="G8" s="42" t="inlineStr"/>
      <c r="H8" s="12" t="inlineStr">
        <is>
          <t>Luzern</t>
        </is>
      </c>
      <c r="I8" s="11" t="inlineStr">
        <is>
          <t>LU</t>
        </is>
      </c>
      <c r="J8" s="12" t="inlineStr">
        <is>
          <t>Marketing</t>
        </is>
      </c>
      <c r="K8" s="43" t="n">
        <v>54000</v>
      </c>
      <c r="L8" s="44" t="n">
        <v>26460</v>
      </c>
      <c r="M8" s="47">
        <f>MAX(0,K8-L8)</f>
        <v/>
      </c>
      <c r="N8" s="11">
        <f>IF(IFERROR(YEARFRAC(E8,TODAY()),0)&lt;25,"18-24",IF(IFERROR(YEARFRAC(E8,TODAY()),0)&lt;35,"25-34",IF(IFERROR(YEARFRAC(E8,TODAY()),0)&lt;45,"35-44",IF(IFERROR(YEARFRAC(E8,TODAY()),0)&lt;55,"45-54","55-65"))))</f>
        <v/>
      </c>
      <c r="O8" s="48">
        <f>IFERROR(VLOOKUP(N8,BVG_Sätze!$A$3:$D$7,4,FALSE),0)</f>
        <v/>
      </c>
      <c r="P8" s="47">
        <f>M8*O8/2</f>
        <v/>
      </c>
      <c r="Q8" s="47">
        <f>M8*O8/2</f>
        <v/>
      </c>
      <c r="R8" s="47">
        <f>P8+Q8</f>
        <v/>
      </c>
      <c r="S8" s="11">
        <f>IF(K8&gt;0,"Ja","Nein")</f>
        <v/>
      </c>
      <c r="T8" s="10" t="n"/>
    </row>
    <row r="9">
      <c r="A9" s="3" t="n">
        <v>7</v>
      </c>
      <c r="B9" s="4" t="inlineStr">
        <is>
          <t>Stefan</t>
        </is>
      </c>
      <c r="C9" s="4" t="inlineStr">
        <is>
          <t>Graf</t>
        </is>
      </c>
      <c r="D9" s="3" t="inlineStr">
        <is>
          <t>M</t>
        </is>
      </c>
      <c r="E9" s="42" t="n">
        <v>28838</v>
      </c>
      <c r="F9" s="42" t="n">
        <v>46023</v>
      </c>
      <c r="G9" s="42" t="n">
        <v>46387</v>
      </c>
      <c r="H9" s="4" t="inlineStr">
        <is>
          <t>St. Gallen</t>
        </is>
      </c>
      <c r="I9" s="3" t="inlineStr">
        <is>
          <t>SG</t>
        </is>
      </c>
      <c r="J9" s="4" t="inlineStr">
        <is>
          <t>Produktion</t>
        </is>
      </c>
      <c r="K9" s="43" t="n">
        <v>78000</v>
      </c>
      <c r="L9" s="44" t="n">
        <v>26460</v>
      </c>
      <c r="M9" s="45">
        <f>MAX(0,K9-L9)</f>
        <v/>
      </c>
      <c r="N9" s="3">
        <f>IF(IFERROR(YEARFRAC(E9,TODAY()),0)&lt;25,"18-24",IF(IFERROR(YEARFRAC(E9,TODAY()),0)&lt;35,"25-34",IF(IFERROR(YEARFRAC(E9,TODAY()),0)&lt;45,"35-44",IF(IFERROR(YEARFRAC(E9,TODAY()),0)&lt;55,"45-54","55-65"))))</f>
        <v/>
      </c>
      <c r="O9" s="46">
        <f>IFERROR(VLOOKUP(N9,BVG_Sätze!$A$3:$D$7,4,FALSE),0)</f>
        <v/>
      </c>
      <c r="P9" s="45">
        <f>M9*O9/2</f>
        <v/>
      </c>
      <c r="Q9" s="45">
        <f>M9*O9/2</f>
        <v/>
      </c>
      <c r="R9" s="45">
        <f>P9+Q9</f>
        <v/>
      </c>
      <c r="S9" s="3">
        <f>IF(K9&gt;0,"Ja","Nein")</f>
        <v/>
      </c>
      <c r="T9" s="10" t="n"/>
    </row>
    <row r="10">
      <c r="A10" s="11" t="n">
        <v>8</v>
      </c>
      <c r="B10" s="12" t="inlineStr">
        <is>
          <t>Claudia</t>
        </is>
      </c>
      <c r="C10" s="12" t="inlineStr">
        <is>
          <t>Frei</t>
        </is>
      </c>
      <c r="D10" s="11" t="inlineStr">
        <is>
          <t>W</t>
        </is>
      </c>
      <c r="E10" s="42" t="n">
        <v>23800</v>
      </c>
      <c r="F10" s="42" t="n">
        <v>46023</v>
      </c>
      <c r="G10" s="42" t="inlineStr"/>
      <c r="H10" s="12" t="inlineStr">
        <is>
          <t>Winterthur</t>
        </is>
      </c>
      <c r="I10" s="11" t="inlineStr">
        <is>
          <t>ZH</t>
        </is>
      </c>
      <c r="J10" s="12" t="inlineStr">
        <is>
          <t>Einkauf</t>
        </is>
      </c>
      <c r="K10" s="43" t="n">
        <v>105000</v>
      </c>
      <c r="L10" s="44" t="n">
        <v>26460</v>
      </c>
      <c r="M10" s="47">
        <f>MAX(0,K10-L10)</f>
        <v/>
      </c>
      <c r="N10" s="11">
        <f>IF(IFERROR(YEARFRAC(E10,TODAY()),0)&lt;25,"18-24",IF(IFERROR(YEARFRAC(E10,TODAY()),0)&lt;35,"25-34",IF(IFERROR(YEARFRAC(E10,TODAY()),0)&lt;45,"35-44",IF(IFERROR(YEARFRAC(E10,TODAY()),0)&lt;55,"45-54","55-65"))))</f>
        <v/>
      </c>
      <c r="O10" s="48">
        <f>IFERROR(VLOOKUP(N10,BVG_Sätze!$A$3:$D$7,4,FALSE),0)</f>
        <v/>
      </c>
      <c r="P10" s="47">
        <f>M10*O10/2</f>
        <v/>
      </c>
      <c r="Q10" s="47">
        <f>M10*O10/2</f>
        <v/>
      </c>
      <c r="R10" s="47">
        <f>P10+Q10</f>
        <v/>
      </c>
      <c r="S10" s="11">
        <f>IF(K10&gt;0,"Ja","Nein")</f>
        <v/>
      </c>
      <c r="T10" s="10" t="n"/>
    </row>
    <row r="11">
      <c r="A11" s="3" t="n">
        <v>9</v>
      </c>
      <c r="B11" s="4" t="inlineStr">
        <is>
          <t>Daniela</t>
        </is>
      </c>
      <c r="C11" s="4" t="inlineStr">
        <is>
          <t>Bösch</t>
        </is>
      </c>
      <c r="D11" s="3" t="inlineStr">
        <is>
          <t>W</t>
        </is>
      </c>
      <c r="E11" s="42" t="n">
        <v>34830</v>
      </c>
      <c r="F11" s="42" t="n">
        <v>46143</v>
      </c>
      <c r="G11" s="42" t="inlineStr"/>
      <c r="H11" s="4" t="inlineStr">
        <is>
          <t>Biel</t>
        </is>
      </c>
      <c r="I11" s="3" t="inlineStr">
        <is>
          <t>BE</t>
        </is>
      </c>
      <c r="J11" s="4" t="inlineStr">
        <is>
          <t>Kundendienst</t>
        </is>
      </c>
      <c r="K11" s="43" t="n">
        <v>48000</v>
      </c>
      <c r="L11" s="44" t="n">
        <v>26460</v>
      </c>
      <c r="M11" s="45">
        <f>MAX(0,K11-L11)</f>
        <v/>
      </c>
      <c r="N11" s="3">
        <f>IF(IFERROR(YEARFRAC(E11,TODAY()),0)&lt;25,"18-24",IF(IFERROR(YEARFRAC(E11,TODAY()),0)&lt;35,"25-34",IF(IFERROR(YEARFRAC(E11,TODAY()),0)&lt;45,"35-44",IF(IFERROR(YEARFRAC(E11,TODAY()),0)&lt;55,"45-54","55-65"))))</f>
        <v/>
      </c>
      <c r="O11" s="46">
        <f>IFERROR(VLOOKUP(N11,BVG_Sätze!$A$3:$D$7,4,FALSE),0)</f>
        <v/>
      </c>
      <c r="P11" s="45">
        <f>M11*O11/2</f>
        <v/>
      </c>
      <c r="Q11" s="45">
        <f>M11*O11/2</f>
        <v/>
      </c>
      <c r="R11" s="45">
        <f>P11+Q11</f>
        <v/>
      </c>
      <c r="S11" s="3">
        <f>IF(K11&gt;0,"Ja","Nein")</f>
        <v/>
      </c>
      <c r="T11" s="10" t="n"/>
    </row>
    <row r="12">
      <c r="A12" s="11" t="n">
        <v>10</v>
      </c>
      <c r="B12" s="12" t="inlineStr">
        <is>
          <t>Beat</t>
        </is>
      </c>
      <c r="C12" s="12" t="inlineStr">
        <is>
          <t>Huber</t>
        </is>
      </c>
      <c r="D12" s="11" t="inlineStr">
        <is>
          <t>M</t>
        </is>
      </c>
      <c r="E12" s="42" t="n">
        <v>26517</v>
      </c>
      <c r="F12" s="42" t="n">
        <v>46023</v>
      </c>
      <c r="G12" s="42" t="inlineStr"/>
      <c r="H12" s="12" t="inlineStr">
        <is>
          <t>Lugano</t>
        </is>
      </c>
      <c r="I12" s="11" t="inlineStr">
        <is>
          <t>TI</t>
        </is>
      </c>
      <c r="J12" s="12" t="inlineStr">
        <is>
          <t>Projektleitung</t>
        </is>
      </c>
      <c r="K12" s="43" t="n">
        <v>118000</v>
      </c>
      <c r="L12" s="44" t="n">
        <v>26460</v>
      </c>
      <c r="M12" s="47">
        <f>MAX(0,K12-L12)</f>
        <v/>
      </c>
      <c r="N12" s="11">
        <f>IF(IFERROR(YEARFRAC(E12,TODAY()),0)&lt;25,"18-24",IF(IFERROR(YEARFRAC(E12,TODAY()),0)&lt;35,"25-34",IF(IFERROR(YEARFRAC(E12,TODAY()),0)&lt;45,"35-44",IF(IFERROR(YEARFRAC(E12,TODAY()),0)&lt;55,"45-54","55-65"))))</f>
        <v/>
      </c>
      <c r="O12" s="48">
        <f>IFERROR(VLOOKUP(N12,BVG_Sätze!$A$3:$D$7,4,FALSE),0)</f>
        <v/>
      </c>
      <c r="P12" s="47">
        <f>M12*O12/2</f>
        <v/>
      </c>
      <c r="Q12" s="47">
        <f>M12*O12/2</f>
        <v/>
      </c>
      <c r="R12" s="47">
        <f>P12+Q12</f>
        <v/>
      </c>
      <c r="S12" s="11">
        <f>IF(K12&gt;0,"Ja","Nein")</f>
        <v/>
      </c>
      <c r="T12" s="10" t="n"/>
    </row>
    <row r="13">
      <c r="A13" s="15" t="inlineStr">
        <is>
          <t>TOTAL</t>
        </is>
      </c>
      <c r="B13" s="16" t="n"/>
      <c r="C13" s="16" t="n"/>
      <c r="D13" s="16" t="n"/>
      <c r="E13" s="16" t="n"/>
      <c r="F13" s="16" t="n"/>
      <c r="G13" s="16" t="n"/>
      <c r="H13" s="16" t="n"/>
      <c r="I13" s="16" t="n"/>
      <c r="J13" s="16" t="n"/>
      <c r="K13" s="49">
        <f>SUM(K3:K12)</f>
        <v/>
      </c>
      <c r="L13" s="16" t="n"/>
      <c r="M13" s="49">
        <f>SUM(M3:M12)</f>
        <v/>
      </c>
      <c r="N13" s="16" t="n"/>
      <c r="O13" s="16" t="n"/>
      <c r="P13" s="49">
        <f>SUM(P3:P12)</f>
        <v/>
      </c>
      <c r="Q13" s="49">
        <f>SUM(Q3:Q12)</f>
        <v/>
      </c>
      <c r="R13" s="49">
        <f>SUM(R3:R12)</f>
        <v/>
      </c>
      <c r="S13" s="16" t="n"/>
      <c r="T13" s="16" t="n"/>
    </row>
  </sheetData>
  <autoFilter ref="A2:T12"/>
  <mergeCells count="1">
    <mergeCell ref="A1:T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3" customWidth="1" min="4" max="4"/>
    <col width="48" customWidth="1" min="5" max="5"/>
  </cols>
  <sheetData>
    <row r="1" ht="26" customHeight="1">
      <c r="A1" s="18" t="inlineStr">
        <is>
          <t>BVG-Beitragssätze und Parameter 2026</t>
        </is>
      </c>
    </row>
    <row r="2">
      <c r="A2" s="2" t="inlineStr">
        <is>
          <t>Altersgruppe</t>
        </is>
      </c>
      <c r="B2" s="2" t="inlineStr">
        <is>
          <t>Mindestalter</t>
        </is>
      </c>
      <c r="C2" s="2" t="inlineStr">
        <is>
          <t>Höchstalter</t>
        </is>
      </c>
      <c r="D2" s="2" t="inlineStr">
        <is>
          <t>BVG-Satz %</t>
        </is>
      </c>
      <c r="E2" s="2" t="inlineStr">
        <is>
          <t>Hinweis</t>
        </is>
      </c>
    </row>
    <row r="3">
      <c r="A3" s="3" t="inlineStr">
        <is>
          <t>18-24</t>
        </is>
      </c>
      <c r="B3" s="3" t="n">
        <v>18</v>
      </c>
      <c r="C3" s="3" t="n">
        <v>24</v>
      </c>
      <c r="D3" s="46" t="n">
        <v>0</v>
      </c>
      <c r="E3" s="4" t="inlineStr">
        <is>
          <t>Keine obligatorischen BVG-Beiträge</t>
        </is>
      </c>
    </row>
    <row r="4">
      <c r="A4" s="11" t="inlineStr">
        <is>
          <t>25-34</t>
        </is>
      </c>
      <c r="B4" s="11" t="n">
        <v>25</v>
      </c>
      <c r="C4" s="11" t="n">
        <v>34</v>
      </c>
      <c r="D4" s="48" t="n">
        <v>0.07000000000000001</v>
      </c>
      <c r="E4" s="12" t="inlineStr">
        <is>
          <t>7% des versicherten Lohns</t>
        </is>
      </c>
    </row>
    <row r="5">
      <c r="A5" s="3" t="inlineStr">
        <is>
          <t>35-44</t>
        </is>
      </c>
      <c r="B5" s="3" t="n">
        <v>35</v>
      </c>
      <c r="C5" s="3" t="n">
        <v>44</v>
      </c>
      <c r="D5" s="46" t="n">
        <v>0.1</v>
      </c>
      <c r="E5" s="4" t="inlineStr">
        <is>
          <t>10% des versicherten Lohns</t>
        </is>
      </c>
    </row>
    <row r="6">
      <c r="A6" s="11" t="inlineStr">
        <is>
          <t>45-54</t>
        </is>
      </c>
      <c r="B6" s="11" t="n">
        <v>45</v>
      </c>
      <c r="C6" s="11" t="n">
        <v>54</v>
      </c>
      <c r="D6" s="48" t="n">
        <v>0.15</v>
      </c>
      <c r="E6" s="12" t="inlineStr">
        <is>
          <t>15% des versicherten Lohns</t>
        </is>
      </c>
    </row>
    <row r="7">
      <c r="A7" s="3" t="inlineStr">
        <is>
          <t>55-65</t>
        </is>
      </c>
      <c r="B7" s="3" t="n">
        <v>55</v>
      </c>
      <c r="C7" s="3" t="n">
        <v>65</v>
      </c>
      <c r="D7" s="46" t="n">
        <v>0.18</v>
      </c>
      <c r="E7" s="4" t="inlineStr">
        <is>
          <t>18% des versicherten Lohns (max. Altersgutschrift)</t>
        </is>
      </c>
    </row>
    <row r="8"/>
    <row r="9">
      <c r="A9" s="19" t="inlineStr">
        <is>
          <t>Berechnungsparameter 2026</t>
        </is>
      </c>
    </row>
    <row r="10">
      <c r="A10" s="20" t="inlineStr">
        <is>
          <t>Koordinationsabzug CHF</t>
        </is>
      </c>
      <c r="B10" s="50" t="n">
        <v>26460</v>
      </c>
      <c r="C10" s="22" t="inlineStr"/>
      <c r="D10" s="22" t="inlineStr"/>
      <c r="E10" s="12" t="inlineStr">
        <is>
          <t>Abzug vom AHV-Lohn für BVG-Basis</t>
        </is>
      </c>
    </row>
    <row r="11">
      <c r="A11" s="23" t="inlineStr">
        <is>
          <t>Eintrittsschwelle BVG CHF</t>
        </is>
      </c>
      <c r="B11" s="50" t="n">
        <v>22680</v>
      </c>
      <c r="C11" s="22" t="inlineStr"/>
      <c r="D11" s="22" t="inlineStr"/>
      <c r="E11" s="4" t="inlineStr">
        <is>
          <t>Mindestjahreslohn für BVG-Pflicht</t>
        </is>
      </c>
    </row>
    <row r="12">
      <c r="A12" s="20" t="inlineStr">
        <is>
          <t>Max. koordinierter Lohn CHF</t>
        </is>
      </c>
      <c r="B12" s="50" t="n">
        <v>88200</v>
      </c>
      <c r="C12" s="22" t="inlineStr"/>
      <c r="D12" s="22" t="inlineStr"/>
      <c r="E12" s="12" t="inlineStr">
        <is>
          <t>Maximaler versicherter Lohn</t>
        </is>
      </c>
    </row>
    <row r="13">
      <c r="A13" s="23" t="inlineStr">
        <is>
          <t>MWST Normalsatz</t>
        </is>
      </c>
      <c r="B13" s="51" t="n">
        <v>0.081</v>
      </c>
      <c r="C13" s="22" t="inlineStr"/>
      <c r="D13" s="22" t="inlineStr"/>
      <c r="E13" s="4" t="inlineStr">
        <is>
          <t>8.1% Normalsatz 2026</t>
        </is>
      </c>
    </row>
    <row r="14"/>
    <row r="15">
      <c r="A15" s="19" t="inlineStr">
        <is>
          <t>Statistik</t>
        </is>
      </c>
    </row>
    <row r="16">
      <c r="A16" s="20" t="inlineStr">
        <is>
          <t>Ø BVG-Satz (aktive Stufen)</t>
        </is>
      </c>
      <c r="B16" s="52">
        <f>IFERROR(AVERAGE(D3:D7),0)</f>
        <v/>
      </c>
      <c r="C16" s="26" t="n"/>
      <c r="D16" s="26" t="n"/>
      <c r="E16" s="26" t="n"/>
    </row>
    <row r="17">
      <c r="A17" s="23" t="inlineStr">
        <is>
          <t>Anzahl aktive Beitragsstufen</t>
        </is>
      </c>
      <c r="B17" s="27">
        <f>COUNTIF(D3:D7,"&gt;0")</f>
        <v/>
      </c>
      <c r="C17" s="28" t="n"/>
      <c r="D17" s="28" t="n"/>
      <c r="E17" s="28" t="n"/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6"/>
  <sheetViews>
    <sheetView workbookViewId="0">
      <selection activeCell="A1" sqref="A1"/>
    </sheetView>
  </sheetViews>
  <sheetFormatPr baseColWidth="8" defaultRowHeight="15"/>
  <cols>
    <col width="34" customWidth="1" min="1" max="1"/>
    <col width="22" customWidth="1" min="2" max="2"/>
    <col width="4" customWidth="1" min="3" max="3"/>
    <col width="22" customWidth="1" min="4" max="4"/>
    <col width="18" customWidth="1" min="5" max="5"/>
    <col width="18" customWidth="1" min="6" max="6"/>
    <col width="18" customWidth="1" min="7" max="7"/>
    <col width="18" customWidth="1" min="8" max="8"/>
  </cols>
  <sheetData>
    <row r="1" ht="30" customHeight="1">
      <c r="A1" s="1" t="inlineStr">
        <is>
          <t>BVG-Auswertung – Management-Übersicht 2026</t>
        </is>
      </c>
    </row>
    <row r="2"/>
    <row r="3">
      <c r="A3" s="29" t="inlineStr">
        <is>
          <t>Kennzahlen</t>
        </is>
      </c>
      <c r="B3" s="53" t="n"/>
      <c r="C3" s="54" t="n"/>
      <c r="E3" s="2" t="inlineStr">
        <is>
          <t>Abteilung</t>
        </is>
      </c>
      <c r="F3" s="2" t="inlineStr">
        <is>
          <t>Total BVG CHF</t>
        </is>
      </c>
    </row>
    <row r="4">
      <c r="A4" s="30" t="inlineStr">
        <is>
          <t>Total Mitarbeitende</t>
        </is>
      </c>
      <c r="B4" s="31">
        <f>COUNTA(BVG_Berechnung!B3:B12)</f>
        <v/>
      </c>
      <c r="C4" s="26" t="inlineStr"/>
      <c r="E4" s="12" t="inlineStr">
        <is>
          <t>Administration</t>
        </is>
      </c>
      <c r="F4" s="55">
        <f>IFERROR(SUMIF(BVG_Berechnung!J$3:J$12,E4,BVG_Berechnung!R$3:R$12),0)</f>
        <v/>
      </c>
    </row>
    <row r="5">
      <c r="A5" s="33" t="inlineStr">
        <is>
          <t>Total versicherter Lohn CHF</t>
        </is>
      </c>
      <c r="B5" s="56">
        <f>SUM(BVG_Berechnung!M3:M12)</f>
        <v/>
      </c>
      <c r="C5" s="28" t="inlineStr"/>
      <c r="E5" s="4" t="inlineStr">
        <is>
          <t>Verkauf</t>
        </is>
      </c>
      <c r="F5" s="57">
        <f>IFERROR(SUMIF(BVG_Berechnung!J$3:J$12,E5,BVG_Berechnung!R$3:R$12),0)</f>
        <v/>
      </c>
    </row>
    <row r="6">
      <c r="A6" s="30" t="inlineStr">
        <is>
          <t>Total Arbeitnehmeranteil CHF</t>
        </is>
      </c>
      <c r="B6" s="56">
        <f>SUM(BVG_Berechnung!P3:P12)</f>
        <v/>
      </c>
      <c r="C6" s="26" t="inlineStr"/>
      <c r="E6" s="12" t="inlineStr">
        <is>
          <t>HR</t>
        </is>
      </c>
      <c r="F6" s="55">
        <f>IFERROR(SUMIF(BVG_Berechnung!J$3:J$12,E6,BVG_Berechnung!R$3:R$12),0)</f>
        <v/>
      </c>
    </row>
    <row r="7">
      <c r="A7" s="33" t="inlineStr">
        <is>
          <t>Total Arbeitgeberanteil CHF</t>
        </is>
      </c>
      <c r="B7" s="56">
        <f>SUM(BVG_Berechnung!Q3:Q12)</f>
        <v/>
      </c>
      <c r="C7" s="28" t="inlineStr"/>
      <c r="E7" s="4" t="inlineStr">
        <is>
          <t>IT</t>
        </is>
      </c>
      <c r="F7" s="57">
        <f>IFERROR(SUMIF(BVG_Berechnung!J$3:J$12,E7,BVG_Berechnung!R$3:R$12),0)</f>
        <v/>
      </c>
    </row>
    <row r="8">
      <c r="A8" s="30" t="inlineStr">
        <is>
          <t>Total BVG-Kosten CHF</t>
        </is>
      </c>
      <c r="B8" s="56">
        <f>SUM(BVG_Berechnung!R3:R12)</f>
        <v/>
      </c>
      <c r="C8" s="26" t="inlineStr"/>
      <c r="E8" s="12" t="inlineStr">
        <is>
          <t>Finanzen</t>
        </is>
      </c>
      <c r="F8" s="55">
        <f>IFERROR(SUMIF(BVG_Berechnung!J$3:J$12,E8,BVG_Berechnung!R$3:R$12),0)</f>
        <v/>
      </c>
    </row>
    <row r="9">
      <c r="A9" s="33" t="inlineStr">
        <is>
          <t>Ø BVG-Satz %</t>
        </is>
      </c>
      <c r="B9" s="58">
        <f>IFERROR(AVERAGE(BVG_Berechnung!O3:O12),0)</f>
        <v/>
      </c>
      <c r="C9" s="28" t="inlineStr"/>
      <c r="E9" s="4" t="inlineStr">
        <is>
          <t>Marketing</t>
        </is>
      </c>
      <c r="F9" s="57">
        <f>IFERROR(SUMIF(BVG_Berechnung!J$3:J$12,E9,BVG_Berechnung!R$3:R$12),0)</f>
        <v/>
      </c>
    </row>
    <row r="10">
      <c r="A10" s="30" t="inlineStr">
        <is>
          <t>Mitarbeitende AHV-pflichtig</t>
        </is>
      </c>
      <c r="B10" s="31">
        <f>COUNTIF(BVG_Berechnung!S3:S12,"Ja")</f>
        <v/>
      </c>
      <c r="C10" s="26" t="inlineStr"/>
      <c r="E10" s="12" t="inlineStr">
        <is>
          <t>Produktion</t>
        </is>
      </c>
      <c r="F10" s="55">
        <f>IFERROR(SUMIF(BVG_Berechnung!J$3:J$12,E10,BVG_Berechnung!R$3:R$12),0)</f>
        <v/>
      </c>
    </row>
    <row r="11">
      <c r="A11" s="33" t="inlineStr">
        <is>
          <t>Ø versicherter Lohn CHF</t>
        </is>
      </c>
      <c r="B11" s="56">
        <f>IFERROR(AVERAGE(BVG_Berechnung!M3:M12),0)</f>
        <v/>
      </c>
      <c r="C11" s="28" t="inlineStr"/>
      <c r="E11" s="4" t="inlineStr">
        <is>
          <t>Einkauf</t>
        </is>
      </c>
      <c r="F11" s="57">
        <f>IFERROR(SUMIF(BVG_Berechnung!J$3:J$12,E11,BVG_Berechnung!R$3:R$12),0)</f>
        <v/>
      </c>
    </row>
    <row r="12">
      <c r="E12" s="12" t="inlineStr">
        <is>
          <t>Kundendienst</t>
        </is>
      </c>
      <c r="F12" s="55">
        <f>IFERROR(SUMIF(BVG_Berechnung!J$3:J$12,E12,BVG_Berechnung!R$3:R$12),0)</f>
        <v/>
      </c>
    </row>
    <row r="13">
      <c r="E13" s="4" t="inlineStr">
        <is>
          <t>Projektleitung</t>
        </is>
      </c>
      <c r="F13" s="57">
        <f>IFERROR(SUMIF(BVG_Berechnung!J$3:J$12,E13,BVG_Berechnung!R$3:R$12),0)</f>
        <v/>
      </c>
    </row>
    <row r="14">
      <c r="E14" s="2" t="inlineStr">
        <is>
          <t>Anteil</t>
        </is>
      </c>
      <c r="F14" s="2" t="inlineStr">
        <is>
          <t>CHF</t>
        </is>
      </c>
    </row>
    <row r="15">
      <c r="E15" s="4" t="inlineStr">
        <is>
          <t>Arbeitnehmeranteil</t>
        </is>
      </c>
      <c r="F15" s="57">
        <f>SUM(BVG_Berechnung!P3:P12)</f>
        <v/>
      </c>
    </row>
    <row r="16">
      <c r="E16" s="12" t="inlineStr">
        <is>
          <t>Arbeitgeberanteil</t>
        </is>
      </c>
      <c r="F16" s="55">
        <f>SUM(BVG_Berechnung!Q3:Q12)</f>
        <v/>
      </c>
    </row>
  </sheetData>
  <mergeCells count="2">
    <mergeCell ref="A1:H1"/>
    <mergeCell ref="A3:C3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4"/>
  <sheetViews>
    <sheetView workbookViewId="0">
      <selection activeCell="A1" sqref="A1"/>
    </sheetView>
  </sheetViews>
  <sheetFormatPr baseColWidth="8" defaultRowHeight="15"/>
  <cols>
    <col width="28" customWidth="1" min="1" max="1"/>
    <col width="60" customWidth="1" min="2" max="2"/>
    <col width="22" customWidth="1" min="3" max="3"/>
    <col width="22" customWidth="1" min="4" max="4"/>
    <col width="22" customWidth="1" min="5" max="5"/>
    <col width="22" customWidth="1" min="6" max="6"/>
  </cols>
  <sheetData>
    <row r="1" ht="30" customHeight="1">
      <c r="A1" s="1" t="inlineStr">
        <is>
          <t>Hinweise zur BVG-Beitragsberechnung Vorlage Schweiz 2026</t>
        </is>
      </c>
    </row>
    <row r="2"/>
    <row r="3">
      <c r="A3" s="37" t="inlineStr">
        <is>
          <t>ZWECK DER VORLAGE</t>
        </is>
      </c>
      <c r="B3" s="53" t="n"/>
      <c r="C3" s="53" t="n"/>
      <c r="D3" s="53" t="n"/>
      <c r="E3" s="53" t="n"/>
      <c r="F3" s="54" t="n"/>
    </row>
    <row r="4" ht="30" customHeight="1">
      <c r="A4" s="38" t="inlineStr">
        <is>
          <t>Beschreibung</t>
        </is>
      </c>
      <c r="B4" s="39" t="inlineStr">
        <is>
          <t>Diese Vorlage dient der Berechnung von BVG-Pflichtbeiträgen (berufliche Vorsorge) für Mitarbeitende in der Schweiz gemäss BVG 2026.</t>
        </is>
      </c>
      <c r="C4" s="26" t="n"/>
      <c r="D4" s="26" t="n"/>
      <c r="E4" s="26" t="n"/>
      <c r="F4" s="26" t="n"/>
    </row>
    <row r="5" ht="30" customHeight="1">
      <c r="A5" s="40" t="inlineStr">
        <is>
          <t>Geltungsbereich</t>
        </is>
      </c>
      <c r="B5" s="41" t="inlineStr">
        <is>
          <t>Gilt für Arbeitnehmende mit AHV-pflichtigem Jahreslohn über CHF 22'680 (Eintrittsschwelle BVG 2026).</t>
        </is>
      </c>
      <c r="C5" s="28" t="n"/>
      <c r="D5" s="28" t="n"/>
      <c r="E5" s="28" t="n"/>
      <c r="F5" s="28" t="n"/>
    </row>
    <row r="6"/>
    <row r="7">
      <c r="A7" s="37" t="inlineStr">
        <is>
          <t>DATENERFASSUNG – PFLICHTFELDER</t>
        </is>
      </c>
      <c r="B7" s="53" t="n"/>
      <c r="C7" s="53" t="n"/>
      <c r="D7" s="53" t="n"/>
      <c r="E7" s="53" t="n"/>
      <c r="F7" s="54" t="n"/>
    </row>
    <row r="8" ht="30" customHeight="1">
      <c r="A8" s="38" t="inlineStr">
        <is>
          <t>Vorname / Nachname</t>
        </is>
      </c>
      <c r="B8" s="39" t="inlineStr">
        <is>
          <t>Vollständiger Name des/der Mitarbeitenden.</t>
        </is>
      </c>
      <c r="C8" s="26" t="n"/>
      <c r="D8" s="26" t="n"/>
      <c r="E8" s="26" t="n"/>
      <c r="F8" s="26" t="n"/>
    </row>
    <row r="9" ht="30" customHeight="1">
      <c r="A9" s="40" t="inlineStr">
        <is>
          <t>Geburtsdatum</t>
        </is>
      </c>
      <c r="B9" s="41" t="inlineStr">
        <is>
          <t>Format DD.MM.YYYY – wird für Alterskategorie-Berechnung benötigt.</t>
        </is>
      </c>
      <c r="C9" s="28" t="n"/>
      <c r="D9" s="28" t="n"/>
      <c r="E9" s="28" t="n"/>
      <c r="F9" s="28" t="n"/>
    </row>
    <row r="10" ht="30" customHeight="1">
      <c r="A10" s="38" t="inlineStr">
        <is>
          <t>Eintrittsdatum</t>
        </is>
      </c>
      <c r="B10" s="39" t="inlineStr">
        <is>
          <t>Eintrittsdatum in das Unternehmen (Format DD.MM.YYYY).</t>
        </is>
      </c>
      <c r="C10" s="26" t="n"/>
      <c r="D10" s="26" t="n"/>
      <c r="E10" s="26" t="n"/>
      <c r="F10" s="26" t="n"/>
    </row>
    <row r="11" ht="30" customHeight="1">
      <c r="A11" s="40" t="inlineStr">
        <is>
          <t>Austrittsdatum</t>
        </is>
      </c>
      <c r="B11" s="41" t="inlineStr">
        <is>
          <t>Falls bekannt, Austritt eintragen. Leer lassen, falls noch aktiv.</t>
        </is>
      </c>
      <c r="C11" s="28" t="n"/>
      <c r="D11" s="28" t="n"/>
      <c r="E11" s="28" t="n"/>
      <c r="F11" s="28" t="n"/>
    </row>
    <row r="12" ht="30" customHeight="1">
      <c r="A12" s="38" t="inlineStr">
        <is>
          <t>Standort / Kanton</t>
        </is>
      </c>
      <c r="B12" s="39" t="inlineStr">
        <is>
          <t>Arbeitsort des/der Mitarbeitenden.</t>
        </is>
      </c>
      <c r="C12" s="26" t="n"/>
      <c r="D12" s="26" t="n"/>
      <c r="E12" s="26" t="n"/>
      <c r="F12" s="26" t="n"/>
    </row>
    <row r="13" ht="30" customHeight="1">
      <c r="A13" s="40" t="inlineStr">
        <is>
          <t>Jahreslohn CHF</t>
        </is>
      </c>
      <c r="B13" s="41" t="inlineStr">
        <is>
          <t>Massgebender AHV-Lohn (Bruttojahreslohn) in CHF eingeben.</t>
        </is>
      </c>
      <c r="C13" s="28" t="n"/>
      <c r="D13" s="28" t="n"/>
      <c r="E13" s="28" t="n"/>
      <c r="F13" s="28" t="n"/>
    </row>
    <row r="14" ht="30" customHeight="1">
      <c r="A14" s="38" t="inlineStr">
        <is>
          <t>Koordinationsabzug</t>
        </is>
      </c>
      <c r="B14" s="39" t="inlineStr">
        <is>
          <t>Standard: CHF 26'460. Kann je nach Pensionskassen-Reglement abweichen.</t>
        </is>
      </c>
      <c r="C14" s="26" t="n"/>
      <c r="D14" s="26" t="n"/>
      <c r="E14" s="26" t="n"/>
      <c r="F14" s="26" t="n"/>
    </row>
    <row r="15"/>
    <row r="16">
      <c r="A16" s="37" t="inlineStr">
        <is>
          <t>BVG-BERECHNUNGSLOGIK</t>
        </is>
      </c>
      <c r="B16" s="53" t="n"/>
      <c r="C16" s="53" t="n"/>
      <c r="D16" s="53" t="n"/>
      <c r="E16" s="53" t="n"/>
      <c r="F16" s="54" t="n"/>
    </row>
    <row r="17" ht="30" customHeight="1">
      <c r="A17" s="40" t="inlineStr">
        <is>
          <t>Versicherter Lohn</t>
        </is>
      </c>
      <c r="B17" s="41">
        <f> Jahreslohn minus Koordinationsabzug (mindestens CHF 0).</f>
        <v/>
      </c>
      <c r="C17" s="28" t="n"/>
      <c r="D17" s="28" t="n"/>
      <c r="E17" s="28" t="n"/>
      <c r="F17" s="28" t="n"/>
    </row>
    <row r="18" ht="30" customHeight="1">
      <c r="A18" s="38" t="inlineStr">
        <is>
          <t>Alterskategorie</t>
        </is>
      </c>
      <c r="B18" s="39" t="inlineStr">
        <is>
          <t>Wird automatisch aus dem Geburtsdatum berechnet (5 Stufen).</t>
        </is>
      </c>
      <c r="C18" s="26" t="n"/>
      <c r="D18" s="26" t="n"/>
      <c r="E18" s="26" t="n"/>
      <c r="F18" s="26" t="n"/>
    </row>
    <row r="19" ht="30" customHeight="1">
      <c r="A19" s="40" t="inlineStr">
        <is>
          <t>BVG-Satz %</t>
        </is>
      </c>
      <c r="B19" s="41" t="inlineStr">
        <is>
          <t>Wird via VLOOKUP aus dem Blatt BVG_Sätze abgeleitet.</t>
        </is>
      </c>
      <c r="C19" s="28" t="n"/>
      <c r="D19" s="28" t="n"/>
      <c r="E19" s="28" t="n"/>
      <c r="F19" s="28" t="n"/>
    </row>
    <row r="20" ht="30" customHeight="1">
      <c r="A20" s="38" t="inlineStr">
        <is>
          <t>Arbeitnehmeranteil</t>
        </is>
      </c>
      <c r="B20" s="39">
        <f> Versicherter Lohn × BVG-Satz / 2 (je 50% AN und AG).</f>
        <v/>
      </c>
      <c r="C20" s="26" t="n"/>
      <c r="D20" s="26" t="n"/>
      <c r="E20" s="26" t="n"/>
      <c r="F20" s="26" t="n"/>
    </row>
    <row r="21" ht="30" customHeight="1">
      <c r="A21" s="40" t="inlineStr">
        <is>
          <t>Arbeitgeberanteil</t>
        </is>
      </c>
      <c r="B21" s="41">
        <f> Versicherter Lohn × BVG-Satz / 2 (mindestens gleich AN-Anteil).</f>
        <v/>
      </c>
      <c r="C21" s="28" t="n"/>
      <c r="D21" s="28" t="n"/>
      <c r="E21" s="28" t="n"/>
      <c r="F21" s="28" t="n"/>
    </row>
    <row r="22" ht="30" customHeight="1">
      <c r="A22" s="38" t="inlineStr">
        <is>
          <t>Total BVG-Kosten</t>
        </is>
      </c>
      <c r="B22" s="39">
        <f> Arbeitnehmeranteil + Arbeitgeberanteil.</f>
        <v/>
      </c>
      <c r="C22" s="26" t="n"/>
      <c r="D22" s="26" t="n"/>
      <c r="E22" s="26" t="n"/>
      <c r="F22" s="26" t="n"/>
    </row>
    <row r="23"/>
    <row r="24">
      <c r="A24" s="37" t="inlineStr">
        <is>
          <t>BVG-SCHWELLENWERTE 2026</t>
        </is>
      </c>
      <c r="B24" s="53" t="n"/>
      <c r="C24" s="53" t="n"/>
      <c r="D24" s="53" t="n"/>
      <c r="E24" s="53" t="n"/>
      <c r="F24" s="54" t="n"/>
    </row>
    <row r="25" ht="30" customHeight="1">
      <c r="A25" s="40" t="inlineStr">
        <is>
          <t>Eintrittsschwelle</t>
        </is>
      </c>
      <c r="B25" s="41" t="inlineStr">
        <is>
          <t>CHF 22'680 – unter diesem Lohn keine BVG-Pflicht.</t>
        </is>
      </c>
      <c r="C25" s="28" t="n"/>
      <c r="D25" s="28" t="n"/>
      <c r="E25" s="28" t="n"/>
      <c r="F25" s="28" t="n"/>
    </row>
    <row r="26" ht="30" customHeight="1">
      <c r="A26" s="38" t="inlineStr">
        <is>
          <t>Koordinationsabzug</t>
        </is>
      </c>
      <c r="B26" s="39" t="inlineStr">
        <is>
          <t>CHF 26'460 – Abzug für Berechnung des versicherten Lohns.</t>
        </is>
      </c>
      <c r="C26" s="26" t="n"/>
      <c r="D26" s="26" t="n"/>
      <c r="E26" s="26" t="n"/>
      <c r="F26" s="26" t="n"/>
    </row>
    <row r="27" ht="30" customHeight="1">
      <c r="A27" s="40" t="inlineStr">
        <is>
          <t>Max. koord. Lohn</t>
        </is>
      </c>
      <c r="B27" s="41" t="inlineStr">
        <is>
          <t>CHF 88'200 – Obergrenze des obligatorisch versicherten Lohns.</t>
        </is>
      </c>
      <c r="C27" s="28" t="n"/>
      <c r="D27" s="28" t="n"/>
      <c r="E27" s="28" t="n"/>
      <c r="F27" s="28" t="n"/>
    </row>
    <row r="28" ht="30" customHeight="1">
      <c r="A28" s="38" t="inlineStr">
        <is>
          <t>MWST Normalsatz</t>
        </is>
      </c>
      <c r="B28" s="39" t="inlineStr">
        <is>
          <t>8.1% (Normalsatz 2026).</t>
        </is>
      </c>
      <c r="C28" s="26" t="n"/>
      <c r="D28" s="26" t="n"/>
      <c r="E28" s="26" t="n"/>
      <c r="F28" s="26" t="n"/>
    </row>
    <row r="29"/>
    <row r="30">
      <c r="A30" s="37" t="inlineStr">
        <is>
          <t>COMPLIANCE-HINWEIS</t>
        </is>
      </c>
      <c r="B30" s="53" t="n"/>
      <c r="C30" s="53" t="n"/>
      <c r="D30" s="53" t="n"/>
      <c r="E30" s="53" t="n"/>
      <c r="F30" s="54" t="n"/>
    </row>
    <row r="31" ht="30" customHeight="1">
      <c r="A31" s="40" t="inlineStr">
        <is>
          <t>Rechtlicher Hinweis</t>
        </is>
      </c>
      <c r="B31" s="41" t="inlineStr">
        <is>
          <t>Diese Vorlage dient der Orientierung. Massgebend sind das Reglement Ihrer Pensionskasse sowie die aktuellen BVG-Gesetzgebungen.</t>
        </is>
      </c>
      <c r="C31" s="28" t="n"/>
      <c r="D31" s="28" t="n"/>
      <c r="E31" s="28" t="n"/>
      <c r="F31" s="28" t="n"/>
    </row>
    <row r="32" ht="30" customHeight="1">
      <c r="A32" s="38" t="inlineStr">
        <is>
          <t>Anpassungen</t>
        </is>
      </c>
      <c r="B32" s="39" t="inlineStr">
        <is>
          <t>BVG-Sätze und Schwellenwerte können vom Bundesrat jährlich angepasst werden. Bitte regelmässig aktualisieren.</t>
        </is>
      </c>
      <c r="C32" s="26" t="n"/>
      <c r="D32" s="26" t="n"/>
      <c r="E32" s="26" t="n"/>
      <c r="F32" s="26" t="n"/>
    </row>
    <row r="33" ht="30" customHeight="1">
      <c r="A33" s="40" t="inlineStr">
        <is>
          <t>Verantwortung</t>
        </is>
      </c>
      <c r="B33" s="41" t="inlineStr">
        <is>
          <t>Die definitive BVG-Abrechnung obliegt dem Pensionskassen-Anschluss des Arbeitgebers.</t>
        </is>
      </c>
      <c r="C33" s="28" t="n"/>
      <c r="D33" s="28" t="n"/>
      <c r="E33" s="28" t="n"/>
      <c r="F33" s="28" t="n"/>
    </row>
    <row r="34" ht="30" customHeight="1">
      <c r="A34" s="38" t="inlineStr">
        <is>
          <t>Kontakt</t>
        </is>
      </c>
      <c r="B34" s="39" t="inlineStr">
        <is>
          <t>Bei Fragen wenden Sie sich an Ihre Pensionskasse oder einen zugelassenen Vorsorgeexperten.</t>
        </is>
      </c>
      <c r="C34" s="26" t="n"/>
      <c r="D34" s="26" t="n"/>
      <c r="E34" s="26" t="n"/>
      <c r="F34" s="26" t="n"/>
    </row>
  </sheetData>
  <mergeCells count="6">
    <mergeCell ref="A1:F1"/>
    <mergeCell ref="A3:F3"/>
    <mergeCell ref="A7:F7"/>
    <mergeCell ref="A16:F16"/>
    <mergeCell ref="A24:F24"/>
    <mergeCell ref="A30:F3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2026-06-22T05:56:22Z</dcterms:created>
  <dcterms:modified xmlns:dcterms="http://purl.org/dc/terms/" xmlns:xsi="http://www.w3.org/2001/XMLSchema-instance" xsi:type="dcterms:W3CDTF">2026-06-22T05:56:22Z</dcterms:modified>
</cp:coreProperties>
</file>